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showInkAnnotation="0" codeName="ThisWorkbook" defaultThemeVersion="124226"/>
  <mc:AlternateContent xmlns:mc="http://schemas.openxmlformats.org/markup-compatibility/2006">
    <mc:Choice Requires="x15">
      <x15ac:absPath xmlns:x15ac="http://schemas.microsoft.com/office/spreadsheetml/2010/11/ac" url="C:\Users\212539536\Box Sync\MN Product Management\Cortecs\RT434\"/>
    </mc:Choice>
  </mc:AlternateContent>
  <xr:revisionPtr revIDLastSave="0" documentId="13_ncr:1_{68C9F9A1-0E67-4391-84E4-95D608ADDA70}" xr6:coauthVersionLast="41" xr6:coauthVersionMax="41" xr10:uidLastSave="{00000000-0000-0000-0000-000000000000}"/>
  <workbookProtection workbookAlgorithmName="SHA-512" workbookHashValue="dkz69/XIJni3fuEMce5ZYRpg4f8mzG8o+RPeN3CF8vms14327LlTIEziBNSM4ZhHjvZQM9tNrdeVhicZzTDMEw==" workbookSaltValue="cTXcomt9Cx7oWXl5fspxJg==" workbookSpinCount="100000" lockStructure="1"/>
  <bookViews>
    <workbookView xWindow="-120" yWindow="-120" windowWidth="20730" windowHeight="11160" tabRatio="617" activeTab="3" xr2:uid="{00000000-000D-0000-FFFF-FFFF00000000}"/>
  </bookViews>
  <sheets>
    <sheet name="Disclaimer" sheetId="7" r:id="rId1"/>
    <sheet name="Cortec" sheetId="12" r:id="rId2"/>
    <sheet name="Configurator" sheetId="11" r:id="rId3"/>
    <sheet name="Master Text" sheetId="10" r:id="rId4"/>
    <sheet name="Database" sheetId="9" state="hidden" r:id="rId5"/>
    <sheet name="Date Drivers" sheetId="6" state="hidden" r:id="rId6"/>
    <sheet name="Language" sheetId="13" state="hidden" r:id="rId7"/>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6" i="10" l="1"/>
  <c r="A1" i="10"/>
  <c r="A1" i="11"/>
  <c r="A1" i="12"/>
  <c r="B1" i="7"/>
  <c r="D35" i="10" l="1"/>
  <c r="D19" i="9"/>
  <c r="AE1" i="6"/>
  <c r="D34" i="10" l="1"/>
  <c r="AA1" i="6"/>
  <c r="D33" i="10" l="1"/>
  <c r="W1" i="6"/>
  <c r="D32" i="10" l="1"/>
  <c r="S1" i="6"/>
  <c r="D31" i="10" l="1"/>
  <c r="D30" i="10"/>
  <c r="D29" i="10"/>
  <c r="D28" i="10"/>
  <c r="D26" i="9"/>
  <c r="D30" i="9"/>
  <c r="D31" i="9" s="1"/>
  <c r="D38" i="9"/>
  <c r="D42" i="9"/>
  <c r="D43" i="9" s="1"/>
  <c r="D44" i="9" s="1"/>
  <c r="D45" i="9" s="1"/>
  <c r="D46" i="9" s="1"/>
  <c r="D47" i="9" s="1"/>
  <c r="D50" i="9"/>
  <c r="D16" i="9"/>
  <c r="D17" i="9" s="1"/>
  <c r="D21" i="9"/>
  <c r="D22" i="9" s="1"/>
  <c r="D11" i="9"/>
  <c r="D12" i="9" s="1"/>
  <c r="D7" i="9" l="1"/>
  <c r="C6" i="9"/>
  <c r="C7" i="9" s="1"/>
  <c r="C49" i="9"/>
  <c r="C50" i="9" s="1"/>
  <c r="C41" i="9"/>
  <c r="C42" i="9" s="1"/>
  <c r="C43" i="9" s="1"/>
  <c r="C44" i="9" s="1"/>
  <c r="C45" i="9" s="1"/>
  <c r="C46" i="9" s="1"/>
  <c r="C47" i="9" s="1"/>
  <c r="C37" i="9"/>
  <c r="C38" i="9" s="1"/>
  <c r="C34" i="9"/>
  <c r="C29" i="9"/>
  <c r="C30" i="9" s="1"/>
  <c r="C31" i="9" s="1"/>
  <c r="C25" i="9"/>
  <c r="C26" i="9" s="1"/>
  <c r="C20" i="9"/>
  <c r="C21" i="9" s="1"/>
  <c r="C22" i="9" s="1"/>
  <c r="C15" i="9"/>
  <c r="C16" i="9" s="1"/>
  <c r="C17" i="9" s="1"/>
  <c r="C10" i="9"/>
  <c r="C11" i="9" s="1"/>
  <c r="C12" i="9" s="1"/>
  <c r="O1" i="6"/>
  <c r="K1" i="6"/>
  <c r="G1" i="6"/>
  <c r="C1" i="6"/>
  <c r="K2" i="9" l="1"/>
  <c r="K1" i="9"/>
  <c r="C3" i="13" l="1"/>
  <c r="N4" i="12" s="1"/>
  <c r="B4" i="7"/>
  <c r="B3" i="13"/>
  <c r="B3" i="7"/>
  <c r="H31" i="9"/>
  <c r="F31" i="9"/>
  <c r="E26" i="9"/>
  <c r="G31" i="9"/>
  <c r="G2" i="9"/>
  <c r="H2" i="9"/>
  <c r="F26" i="9"/>
  <c r="H26" i="9"/>
  <c r="G26" i="9"/>
  <c r="E31" i="9"/>
  <c r="A2" i="12" l="1"/>
  <c r="C27" i="10"/>
  <c r="A4" i="12"/>
  <c r="C35" i="10"/>
  <c r="A58" i="12"/>
  <c r="A57" i="12"/>
  <c r="AE36" i="6"/>
  <c r="AE32" i="6"/>
  <c r="AE25" i="6"/>
  <c r="AE18" i="6"/>
  <c r="AE13" i="6"/>
  <c r="AE7" i="6"/>
  <c r="AE40" i="6"/>
  <c r="AE35" i="6"/>
  <c r="AE30" i="6"/>
  <c r="AE24" i="6"/>
  <c r="AE17" i="6"/>
  <c r="AE11" i="6"/>
  <c r="AE6" i="6"/>
  <c r="AE39" i="6"/>
  <c r="AE34" i="6"/>
  <c r="AE29" i="6"/>
  <c r="AE21" i="6"/>
  <c r="AE15" i="6"/>
  <c r="AE10" i="6"/>
  <c r="AE5" i="6"/>
  <c r="AE4" i="6" s="1"/>
  <c r="AE38" i="6"/>
  <c r="AE37" i="6"/>
  <c r="AE33" i="6"/>
  <c r="AE27" i="6"/>
  <c r="AE19" i="6"/>
  <c r="AE14" i="6"/>
  <c r="AE9" i="6"/>
  <c r="C28" i="10"/>
  <c r="C29" i="10"/>
  <c r="A26" i="10"/>
  <c r="C4" i="12"/>
  <c r="B6" i="7"/>
  <c r="B11" i="7"/>
  <c r="C34" i="10"/>
  <c r="AA39" i="6"/>
  <c r="AA29" i="6"/>
  <c r="AA13" i="6"/>
  <c r="AA27" i="6"/>
  <c r="AA11" i="6"/>
  <c r="AA24" i="6"/>
  <c r="AA32" i="6"/>
  <c r="AA15" i="6"/>
  <c r="AA5" i="6"/>
  <c r="AA40" i="6"/>
  <c r="AA35" i="6"/>
  <c r="AA30" i="6"/>
  <c r="AA19" i="6"/>
  <c r="AA14" i="6"/>
  <c r="AA9" i="6"/>
  <c r="AA34" i="6"/>
  <c r="AA18" i="6"/>
  <c r="AA7" i="6"/>
  <c r="AA25" i="6"/>
  <c r="AA37" i="6"/>
  <c r="AA33" i="6"/>
  <c r="AA17" i="6"/>
  <c r="AA6" i="6"/>
  <c r="AA36" i="6"/>
  <c r="AA21" i="6"/>
  <c r="AA10" i="6"/>
  <c r="W35" i="6"/>
  <c r="W39" i="6"/>
  <c r="W27" i="6"/>
  <c r="W18" i="6"/>
  <c r="W13" i="6"/>
  <c r="W7" i="6"/>
  <c r="C33" i="10"/>
  <c r="W34" i="6"/>
  <c r="W32" i="6"/>
  <c r="W24" i="6"/>
  <c r="W17" i="6"/>
  <c r="W11" i="6"/>
  <c r="W6" i="6"/>
  <c r="W37" i="6"/>
  <c r="W33" i="6"/>
  <c r="W21" i="6"/>
  <c r="W10" i="6"/>
  <c r="W36" i="6"/>
  <c r="W40" i="6"/>
  <c r="W29" i="6"/>
  <c r="W19" i="6"/>
  <c r="W14" i="6"/>
  <c r="W9" i="6"/>
  <c r="W30" i="6"/>
  <c r="W15" i="6"/>
  <c r="W5" i="6"/>
  <c r="W4" i="6" s="1"/>
  <c r="S39" i="6"/>
  <c r="S34" i="6"/>
  <c r="S29" i="6"/>
  <c r="S18" i="6"/>
  <c r="S13" i="6"/>
  <c r="S7" i="6"/>
  <c r="S37" i="6"/>
  <c r="S33" i="6"/>
  <c r="S27" i="6"/>
  <c r="S17" i="6"/>
  <c r="S6" i="6"/>
  <c r="S21" i="6"/>
  <c r="S36" i="6"/>
  <c r="S32" i="6"/>
  <c r="S15" i="6"/>
  <c r="S10" i="6"/>
  <c r="C32" i="10"/>
  <c r="S11" i="6"/>
  <c r="S24" i="6"/>
  <c r="S5" i="6"/>
  <c r="S4" i="6" s="1"/>
  <c r="S40" i="6"/>
  <c r="S35" i="6"/>
  <c r="S30" i="6"/>
  <c r="S19" i="6"/>
  <c r="S14" i="6"/>
  <c r="S9" i="6"/>
  <c r="O26" i="6"/>
  <c r="O30" i="6"/>
  <c r="K30" i="6"/>
  <c r="O40" i="6"/>
  <c r="O35" i="6"/>
  <c r="O29" i="6"/>
  <c r="O19" i="6"/>
  <c r="O14" i="6"/>
  <c r="O9" i="6"/>
  <c r="K40" i="6"/>
  <c r="K35" i="6"/>
  <c r="K29" i="6"/>
  <c r="K21" i="6"/>
  <c r="K15" i="6"/>
  <c r="K10" i="6"/>
  <c r="K5" i="6"/>
  <c r="K4" i="6" s="1"/>
  <c r="G7" i="6"/>
  <c r="G37" i="6"/>
  <c r="G33" i="6"/>
  <c r="G27" i="6"/>
  <c r="G19" i="6"/>
  <c r="G14" i="6"/>
  <c r="K36" i="6"/>
  <c r="K11" i="6"/>
  <c r="G39" i="6"/>
  <c r="G29" i="6"/>
  <c r="O39" i="6"/>
  <c r="O34" i="6"/>
  <c r="O27" i="6"/>
  <c r="O18" i="6"/>
  <c r="O13" i="6"/>
  <c r="O7" i="6"/>
  <c r="K39" i="6"/>
  <c r="K34" i="6"/>
  <c r="K27" i="6"/>
  <c r="K19" i="6"/>
  <c r="K14" i="6"/>
  <c r="K9" i="6"/>
  <c r="G11" i="6"/>
  <c r="G6" i="6"/>
  <c r="G36" i="6"/>
  <c r="G32" i="6"/>
  <c r="G24" i="6"/>
  <c r="G18" i="6"/>
  <c r="G13" i="6"/>
  <c r="O36" i="6"/>
  <c r="O32" i="6"/>
  <c r="O15" i="6"/>
  <c r="O5" i="6"/>
  <c r="O4" i="6" s="1"/>
  <c r="K22" i="6"/>
  <c r="G9" i="6"/>
  <c r="G21" i="6"/>
  <c r="O25" i="6"/>
  <c r="O37" i="6"/>
  <c r="O33" i="6"/>
  <c r="O22" i="6"/>
  <c r="O17" i="6"/>
  <c r="O11" i="6"/>
  <c r="O6" i="6"/>
  <c r="K37" i="6"/>
  <c r="K33" i="6"/>
  <c r="K24" i="6"/>
  <c r="K18" i="6"/>
  <c r="K13" i="6"/>
  <c r="K7" i="6"/>
  <c r="G10" i="6"/>
  <c r="G40" i="6"/>
  <c r="G35" i="6"/>
  <c r="G30" i="6"/>
  <c r="G22" i="6"/>
  <c r="G17" i="6"/>
  <c r="G5" i="6"/>
  <c r="G4" i="6" s="1"/>
  <c r="O24" i="6"/>
  <c r="O21" i="6"/>
  <c r="O10" i="6"/>
  <c r="K32" i="6"/>
  <c r="K17" i="6"/>
  <c r="K6" i="6"/>
  <c r="G34" i="6"/>
  <c r="G15" i="6"/>
  <c r="C10" i="6"/>
  <c r="C36" i="6"/>
  <c r="C32" i="6"/>
  <c r="C24" i="6"/>
  <c r="C18" i="6"/>
  <c r="C13" i="6"/>
  <c r="B32" i="6"/>
  <c r="B21" i="6"/>
  <c r="B6" i="6"/>
  <c r="C39" i="6"/>
  <c r="C29" i="6"/>
  <c r="C21" i="6"/>
  <c r="C9" i="6"/>
  <c r="B13" i="6"/>
  <c r="C5" i="6"/>
  <c r="C4" i="6" s="1"/>
  <c r="C33" i="6"/>
  <c r="C14" i="6"/>
  <c r="B39" i="6"/>
  <c r="C40" i="6"/>
  <c r="C35" i="6"/>
  <c r="C30" i="6"/>
  <c r="C22" i="6"/>
  <c r="C17" i="6"/>
  <c r="C6" i="6"/>
  <c r="B29" i="6"/>
  <c r="B17" i="6"/>
  <c r="B4" i="6"/>
  <c r="A6" i="12" s="1"/>
  <c r="C34" i="6"/>
  <c r="C15" i="6"/>
  <c r="B27" i="6"/>
  <c r="C27" i="6"/>
  <c r="B9" i="6"/>
  <c r="C37" i="6"/>
  <c r="C19" i="6"/>
  <c r="B24" i="6"/>
  <c r="C30" i="10"/>
  <c r="C31" i="10"/>
  <c r="G47" i="9"/>
  <c r="F41" i="9"/>
  <c r="G10" i="9"/>
  <c r="F6" i="9"/>
  <c r="G49" i="9"/>
  <c r="H25" i="9"/>
  <c r="E17" i="9"/>
  <c r="E43" i="9"/>
  <c r="F45" i="9"/>
  <c r="E12" i="9"/>
  <c r="G42" i="9"/>
  <c r="G29" i="9"/>
  <c r="G16" i="9"/>
  <c r="G20" i="9"/>
  <c r="B40" i="9"/>
  <c r="J21" i="9"/>
  <c r="E30" i="9"/>
  <c r="E34" i="9"/>
  <c r="B48" i="9"/>
  <c r="H50" i="9"/>
  <c r="B19" i="9"/>
  <c r="F21" i="9"/>
  <c r="F16" i="9"/>
  <c r="H6" i="9"/>
  <c r="H29" i="9"/>
  <c r="J22" i="9"/>
  <c r="H41" i="9"/>
  <c r="F10" i="9"/>
  <c r="G6" i="9"/>
  <c r="F49" i="9"/>
  <c r="F25" i="9"/>
  <c r="G17" i="9"/>
  <c r="G43" i="9"/>
  <c r="H45" i="9"/>
  <c r="F12" i="9"/>
  <c r="H42" i="9"/>
  <c r="E29" i="9"/>
  <c r="H16" i="9"/>
  <c r="H20" i="9"/>
  <c r="F15" i="9"/>
  <c r="H21" i="9"/>
  <c r="G38" i="9"/>
  <c r="E37" i="9"/>
  <c r="G7" i="9"/>
  <c r="H10" i="9"/>
  <c r="H49" i="9"/>
  <c r="E38" i="9"/>
  <c r="G12" i="9"/>
  <c r="F20" i="9"/>
  <c r="H47" i="9"/>
  <c r="G41" i="9"/>
  <c r="E49" i="9"/>
  <c r="F38" i="9"/>
  <c r="H12" i="9"/>
  <c r="E20" i="9"/>
  <c r="E15" i="9"/>
  <c r="E44" i="9"/>
  <c r="F30" i="9"/>
  <c r="B5" i="9"/>
  <c r="E3" i="9"/>
  <c r="G25" i="9"/>
  <c r="F17" i="9"/>
  <c r="F43" i="9"/>
  <c r="E45" i="9"/>
  <c r="F22" i="9"/>
  <c r="G37" i="9"/>
  <c r="F50" i="9"/>
  <c r="E7" i="9"/>
  <c r="F11" i="9"/>
  <c r="H15" i="9"/>
  <c r="B14" i="9"/>
  <c r="H38" i="9"/>
  <c r="H37" i="9"/>
  <c r="G11" i="9"/>
  <c r="F47" i="9"/>
  <c r="F44" i="9"/>
  <c r="B33" i="9"/>
  <c r="H34" i="9"/>
  <c r="H22" i="9"/>
  <c r="G50" i="9"/>
  <c r="E41" i="9"/>
  <c r="E6" i="9"/>
  <c r="H46" i="9"/>
  <c r="E42" i="9"/>
  <c r="B24" i="9"/>
  <c r="E10" i="9"/>
  <c r="G34" i="9"/>
  <c r="G46" i="9"/>
  <c r="E16" i="9"/>
  <c r="B9" i="9"/>
  <c r="J20" i="9"/>
  <c r="G15" i="9"/>
  <c r="H44" i="9"/>
  <c r="G30" i="9"/>
  <c r="B36" i="9"/>
  <c r="E21" i="9"/>
  <c r="B28" i="9"/>
  <c r="H17" i="9"/>
  <c r="H43" i="9"/>
  <c r="G45" i="9"/>
  <c r="E22" i="9"/>
  <c r="F37" i="9"/>
  <c r="E50" i="9"/>
  <c r="F7" i="9"/>
  <c r="E11" i="9"/>
  <c r="G44" i="9"/>
  <c r="G21" i="9"/>
  <c r="E46" i="9"/>
  <c r="G22" i="9"/>
  <c r="H7" i="9"/>
  <c r="H30" i="9"/>
  <c r="F46" i="9"/>
  <c r="H11" i="9"/>
  <c r="E47" i="9"/>
  <c r="F34" i="9"/>
  <c r="F29" i="9"/>
  <c r="E25" i="9"/>
  <c r="F42" i="9"/>
  <c r="A50" i="12" l="1"/>
  <c r="O50" i="12"/>
  <c r="A26" i="12"/>
  <c r="A25" i="12"/>
  <c r="H40" i="9"/>
  <c r="R22" i="11" s="1"/>
  <c r="G40" i="9"/>
  <c r="F40" i="9"/>
  <c r="G22" i="11" s="1"/>
  <c r="O4" i="11" s="1"/>
  <c r="E40" i="9"/>
  <c r="A21" i="10" s="1"/>
  <c r="A20" i="10"/>
  <c r="A21" i="11"/>
  <c r="A15" i="12"/>
  <c r="G15" i="12"/>
  <c r="H19" i="9"/>
  <c r="R12" i="11" s="1"/>
  <c r="G19" i="9"/>
  <c r="E19" i="9"/>
  <c r="A11" i="10" s="1"/>
  <c r="F19" i="9"/>
  <c r="I24" i="12"/>
  <c r="G5" i="9"/>
  <c r="H5" i="9"/>
  <c r="R6" i="11" s="1"/>
  <c r="F5" i="9"/>
  <c r="F11" i="12"/>
  <c r="E5" i="9"/>
  <c r="A11" i="12"/>
  <c r="A20" i="12"/>
  <c r="H20" i="12"/>
  <c r="A54" i="12"/>
  <c r="P54" i="12"/>
  <c r="E28" i="9"/>
  <c r="G28" i="9"/>
  <c r="H28" i="9"/>
  <c r="R16" i="11" s="1"/>
  <c r="F28" i="9"/>
  <c r="G16" i="11" s="1"/>
  <c r="L4" i="11" s="1"/>
  <c r="A40" i="12"/>
  <c r="O45" i="12"/>
  <c r="A45" i="12"/>
  <c r="I26" i="12"/>
  <c r="A16" i="12"/>
  <c r="A22" i="10"/>
  <c r="A23" i="11"/>
  <c r="A48" i="12"/>
  <c r="O48" i="12"/>
  <c r="O49" i="12"/>
  <c r="A49" i="12"/>
  <c r="O46" i="12"/>
  <c r="A46" i="12"/>
  <c r="F36" i="9"/>
  <c r="G20" i="11" s="1"/>
  <c r="N4" i="11" s="1"/>
  <c r="N41" i="12"/>
  <c r="E36" i="9"/>
  <c r="A19" i="10" s="1"/>
  <c r="A41" i="12"/>
  <c r="G36" i="9"/>
  <c r="H36" i="9"/>
  <c r="R20" i="11" s="1"/>
  <c r="H21" i="12"/>
  <c r="A21" i="12"/>
  <c r="G33" i="9"/>
  <c r="F33" i="9"/>
  <c r="H33" i="9"/>
  <c r="R18" i="11" s="1"/>
  <c r="E33" i="9"/>
  <c r="A17" i="10"/>
  <c r="A14" i="10"/>
  <c r="A15" i="11"/>
  <c r="G24" i="9"/>
  <c r="F24" i="9"/>
  <c r="G14" i="11" s="1"/>
  <c r="K4" i="11" s="1"/>
  <c r="H24" i="9"/>
  <c r="R14" i="11" s="1"/>
  <c r="E24" i="9"/>
  <c r="A13" i="10" s="1"/>
  <c r="A29" i="12"/>
  <c r="I25" i="12"/>
  <c r="F48" i="9"/>
  <c r="G24" i="11" s="1"/>
  <c r="P4" i="11" s="1"/>
  <c r="P53" i="12"/>
  <c r="G48" i="9"/>
  <c r="E48" i="9"/>
  <c r="A23" i="10" s="1"/>
  <c r="H48" i="9"/>
  <c r="R24" i="11" s="1"/>
  <c r="A4" i="10"/>
  <c r="A5" i="11"/>
  <c r="F10" i="12"/>
  <c r="A10" i="12"/>
  <c r="A33" i="12"/>
  <c r="K33" i="12"/>
  <c r="F9" i="9"/>
  <c r="G14" i="12"/>
  <c r="G9" i="9"/>
  <c r="E9" i="9"/>
  <c r="A7" i="10" s="1"/>
  <c r="A14" i="12"/>
  <c r="H9" i="9"/>
  <c r="R8" i="11" s="1"/>
  <c r="O47" i="12"/>
  <c r="A47" i="12"/>
  <c r="F14" i="9"/>
  <c r="H19" i="12"/>
  <c r="H14" i="9"/>
  <c r="R10" i="11" s="1"/>
  <c r="G14" i="9"/>
  <c r="E14" i="9"/>
  <c r="A9" i="10" s="1"/>
  <c r="A43" i="12"/>
  <c r="A13" i="12"/>
  <c r="A28" i="12"/>
  <c r="A23" i="12"/>
  <c r="A52" i="12"/>
  <c r="A31" i="12"/>
  <c r="AA4" i="6"/>
  <c r="A35" i="12"/>
  <c r="A18" i="12"/>
  <c r="A39" i="12"/>
  <c r="A9" i="12"/>
  <c r="N40" i="12"/>
  <c r="G16" i="12"/>
  <c r="L36" i="12"/>
  <c r="A36" i="12"/>
  <c r="A44" i="12"/>
  <c r="J29" i="12"/>
  <c r="A53" i="12"/>
  <c r="A19" i="12"/>
  <c r="O44" i="12"/>
  <c r="A24" i="12"/>
  <c r="K32" i="12"/>
  <c r="A9" i="11"/>
  <c r="A8" i="10"/>
  <c r="A19" i="11"/>
  <c r="A18" i="10"/>
  <c r="A6" i="10"/>
  <c r="A7" i="11"/>
  <c r="A12" i="10"/>
  <c r="A13" i="11"/>
  <c r="A10" i="10"/>
  <c r="A11" i="11"/>
  <c r="A17" i="11"/>
  <c r="A16" i="10"/>
  <c r="E2" i="9"/>
  <c r="E4" i="9" l="1"/>
  <c r="A3" i="10"/>
  <c r="A7" i="12"/>
  <c r="A2" i="11"/>
  <c r="A32" i="12"/>
  <c r="G18" i="11"/>
  <c r="M4" i="11" s="1"/>
  <c r="G12" i="11"/>
  <c r="J4" i="11" s="1"/>
  <c r="G8" i="11"/>
  <c r="H4" i="11" s="1"/>
  <c r="G10" i="11"/>
  <c r="I4" i="11" s="1"/>
  <c r="A15" i="10"/>
  <c r="A5" i="10"/>
  <c r="G6" i="11"/>
  <c r="G4" i="11" s="1"/>
  <c r="A2" i="10" l="1"/>
</calcChain>
</file>

<file path=xl/sharedStrings.xml><?xml version="1.0" encoding="utf-8"?>
<sst xmlns="http://schemas.openxmlformats.org/spreadsheetml/2006/main" count="605" uniqueCount="254">
  <si>
    <t>A</t>
  </si>
  <si>
    <t>B</t>
  </si>
  <si>
    <t>C</t>
  </si>
  <si>
    <t xml:space="preserve">Our policy is one of continuous development. Accordingly the design of our products may change at any time. </t>
  </si>
  <si>
    <t>Whilst every effort is made to produce up to date literature, this document should only be regarded as a guide and is intended for information purposes only.</t>
  </si>
  <si>
    <t>Its contents do not constitute an offer for sale or advice on the application of any product referred to in it. We cannot be held responsible for any reliance on any decisions taken on its contents without specific advice.</t>
  </si>
  <si>
    <t>Variants</t>
  </si>
  <si>
    <t>1-5</t>
  </si>
  <si>
    <t>Model Type</t>
  </si>
  <si>
    <t>X</t>
  </si>
  <si>
    <t>Customization / Regionalisation</t>
  </si>
  <si>
    <t>Default</t>
  </si>
  <si>
    <t>Reason branding</t>
  </si>
  <si>
    <t>Hardware Design Suffix</t>
  </si>
  <si>
    <t>P</t>
  </si>
  <si>
    <t>Sample Customer specific</t>
  </si>
  <si>
    <t>11-12</t>
  </si>
  <si>
    <t>Power Supply 1</t>
  </si>
  <si>
    <t>Power Supply 2</t>
  </si>
  <si>
    <t>Not installed</t>
  </si>
  <si>
    <t>RJ45 copper 100BASE-TX for configuration only</t>
  </si>
  <si>
    <t>RJ45 copper 100BASE-TX for NTP server and configuration</t>
  </si>
  <si>
    <t>N</t>
  </si>
  <si>
    <t>RJ45 copper 100BASE-TX for PTP (IEEE 1588) server, NTP server and configuration</t>
  </si>
  <si>
    <t>Firmware Version</t>
  </si>
  <si>
    <t>IED Order Number</t>
  </si>
  <si>
    <t>Optional</t>
  </si>
  <si>
    <t>GPS Antenna</t>
  </si>
  <si>
    <t>Without antenna</t>
  </si>
  <si>
    <t>3.3V TNC Female active GPS antenna</t>
  </si>
  <si>
    <t>Antenna Cable</t>
  </si>
  <si>
    <t>No cable</t>
  </si>
  <si>
    <t>15 m (50 ft) TNC Male to BNC Male RGC-58 antenna cable</t>
  </si>
  <si>
    <t>25 m (82 ft) TNC Male to BNC Male RGC-58 antenna cable</t>
  </si>
  <si>
    <t>75 m (246 ft) TNC Male to BNC Male RGC-08 low attenuation antenna cable</t>
  </si>
  <si>
    <t>100 m (328 ft) TNC Male to BNC Male RGC-08 low attenuation antenna cable</t>
  </si>
  <si>
    <t>Surge Arrester</t>
  </si>
  <si>
    <t>Without surge arrester</t>
  </si>
  <si>
    <t>10 kA, 50 Ohms, BNC-type connector Surge Arrester for 0-2000 MHz</t>
  </si>
  <si>
    <t>Languages</t>
  </si>
  <si>
    <t>En</t>
  </si>
  <si>
    <t>Pt</t>
  </si>
  <si>
    <t>Es</t>
  </si>
  <si>
    <t>Modelo</t>
  </si>
  <si>
    <t>English</t>
  </si>
  <si>
    <t>Português</t>
  </si>
  <si>
    <t>Alimentación</t>
  </si>
  <si>
    <t>Espanhol</t>
  </si>
  <si>
    <t>Customização / Regionalização</t>
  </si>
  <si>
    <t>Personalización / Regionalización</t>
  </si>
  <si>
    <t>Marca Reason</t>
  </si>
  <si>
    <t>Versão de Firmware</t>
  </si>
  <si>
    <t>Versión del Firmware</t>
  </si>
  <si>
    <t>Original Created</t>
  </si>
  <si>
    <t>Criado Originalmente</t>
  </si>
  <si>
    <t>Creado Originalmente</t>
  </si>
  <si>
    <t>Language Selection</t>
  </si>
  <si>
    <t>Seleção de idioma</t>
  </si>
  <si>
    <t>Selección del Idioma</t>
  </si>
  <si>
    <t>Nuestra política es de desarrollo continuo. Por lo tanto el diseño de nuestros productos puede cambiar en cualquier momento.</t>
  </si>
  <si>
    <t xml:space="preserve">Embora sejam demandados esforços para manter a documentação atualizada, este documento deve ser visto como um guia e destina-se apenas para fins informativos. </t>
  </si>
  <si>
    <t>A pesar del esfuerzo por producir literatura actualizada, este documento sólo debe considerarse como una guía y está destinada únicamente a fines informativos.</t>
  </si>
  <si>
    <t>Seu conteúdo não constitui uma proposta para venda ou recomendação sobre a aplicação de qualquer produto nele mencionado. Nós não podemos ser responsabilizados por quaisquer consequências em decisões tomadas sobre o seu conteúdo, sem recomendações específicas.</t>
  </si>
  <si>
    <t>Su contenido no constituye una oferta de venta o asesoramiento en la aplicación de cualquier producto contemplado en el mismo. No podemos ser responsables por cualquier dependencia de las decisiones adoptadas en su contenido sin notificación al respecto.</t>
  </si>
  <si>
    <t>Información necesaria para la Orden de Compra:</t>
  </si>
  <si>
    <t>Variantes</t>
  </si>
  <si>
    <t>Order Number</t>
  </si>
  <si>
    <t>Número de Orden</t>
  </si>
  <si>
    <t>New function</t>
  </si>
  <si>
    <t>Nova função</t>
  </si>
  <si>
    <t>Nueva función</t>
  </si>
  <si>
    <t>GPS Grandmaster Clock</t>
  </si>
  <si>
    <t>Alimentação 1</t>
  </si>
  <si>
    <t>Alimentação 2</t>
  </si>
  <si>
    <t>Não instalado</t>
  </si>
  <si>
    <t>RJ45 cobre 100BASE-TX para configuração apenas</t>
  </si>
  <si>
    <t>RJ45 cobre 100BASE-TX para servidor NTP e configuração</t>
  </si>
  <si>
    <t>RJ45 cobre 100BASE-TX para servidor PTP (IEEE 1588), servidor NTP e configuração</t>
  </si>
  <si>
    <t>Sufixo do Hardware Design</t>
  </si>
  <si>
    <t>Antena GPS</t>
  </si>
  <si>
    <t>3.3V TNC ativo fêmea antena GPS</t>
  </si>
  <si>
    <t>Cabo da Antena</t>
  </si>
  <si>
    <t>Sem cabo</t>
  </si>
  <si>
    <t>15 m (50 ft) TNC Macho para BNC Macho RGC-58</t>
  </si>
  <si>
    <t>25 m (82 ft) TNC Macho para BNC Macho RGC-58</t>
  </si>
  <si>
    <t>75 m (246 ft) TNC Macho para BNC Macho RGC-08 baixa atenuação</t>
  </si>
  <si>
    <t>100 m (328 ft) TNC Macho para BNC Macho RGC-08 baixa atenuação</t>
  </si>
  <si>
    <t>Supressor de Surto</t>
  </si>
  <si>
    <t>Sem supressor de surto</t>
  </si>
  <si>
    <t>10 kA, 50 Ohms, conector BNC Supressor de Surto para 0-2000 MHz</t>
  </si>
  <si>
    <t>No Instalado</t>
  </si>
  <si>
    <t>Versão Inicial</t>
  </si>
  <si>
    <t>Versión Inicial</t>
  </si>
  <si>
    <t>RJ45 de cobre 100BASE-TX para la configuración solamente</t>
  </si>
  <si>
    <t>RJ45 de cobre 100BASE-TX para servidor NTP y configuración</t>
  </si>
  <si>
    <t>RJ45 de cobre 100BASE-TX para servidor PTP (IEEE 1588), servidor NTP y configuración</t>
  </si>
  <si>
    <t>Sem Antena</t>
  </si>
  <si>
    <t>Sin Antena</t>
  </si>
  <si>
    <t>Cable de la Antena</t>
  </si>
  <si>
    <t>Sin Cable</t>
  </si>
  <si>
    <t>Supresor de Sobretensión</t>
  </si>
  <si>
    <t>Sin Supresor de Sobretensión</t>
  </si>
  <si>
    <t>10 kA, 50 Ohms, conector BNC Supressor de Sobretensión para 0-2000 MHz</t>
  </si>
  <si>
    <t>Alimentación 2</t>
  </si>
  <si>
    <t>Amostra Específica do Cliente</t>
  </si>
  <si>
    <t>Muestra Específica del Cliente</t>
  </si>
  <si>
    <t>Issue:</t>
  </si>
  <si>
    <t>Emissão:</t>
  </si>
  <si>
    <t>Emisión:</t>
  </si>
  <si>
    <t>Information required with Order:</t>
  </si>
  <si>
    <t>Informações requeridas para o pedido:</t>
  </si>
  <si>
    <t>Not valid for PTP server</t>
  </si>
  <si>
    <t>Não é válido para servidor PTP</t>
  </si>
  <si>
    <t>No es válido para el servidor de PTP</t>
  </si>
  <si>
    <t>Opcional</t>
  </si>
  <si>
    <t>Nossa política é de desenvolvimento contínuo. Portanto, o projeto de nossos produtos pode mudar a qualquer momento.</t>
  </si>
  <si>
    <t>40 m (131 ft) TNC Male to BNC Male RGC-58 antenna cable</t>
  </si>
  <si>
    <t>40 m (131 ft) TNC Macho para BNC Macho RGC-58</t>
  </si>
  <si>
    <t>Initial version</t>
  </si>
  <si>
    <t>Firmware version number</t>
  </si>
  <si>
    <t>Sufijo Designador del Hardware</t>
  </si>
  <si>
    <t>3.3 V TNC activo hembra GPS</t>
  </si>
  <si>
    <t>15 m (50 ft) TNC macho a BNC macho RGC-58</t>
  </si>
  <si>
    <t>25 m (82 ft) TNC macho a BNC macho RGC-58</t>
  </si>
  <si>
    <t>40 m (131 ft) TNC macho a BNC macho RGC-58</t>
  </si>
  <si>
    <t>75 m (246 ft) TNC macho a BNC macho RGC-08 baja atenuación</t>
  </si>
  <si>
    <t>100 m (328 ft) TNC macho a BNC macho RGC-08 baja atenuación</t>
  </si>
  <si>
    <t>Changed antenna cable length for option 3</t>
  </si>
  <si>
    <t>Alterado comprimento do cabo de antena para a opção 3</t>
  </si>
  <si>
    <t>Cambiado el comprimiento del cable de la antena para opción 3</t>
  </si>
  <si>
    <t>24-48 Vdc</t>
  </si>
  <si>
    <t>05</t>
  </si>
  <si>
    <t>24-48 Vcc</t>
  </si>
  <si>
    <t>06</t>
  </si>
  <si>
    <t>Changed firmware to version 06, enabled the PRP+PTP option, added 24-48 Vdc power supply option</t>
  </si>
  <si>
    <t>Alterada a versão de firmware para 06 e habilitada a opção de PRP+PTP, adicionada a opção de fonte 24-48 Vcc</t>
  </si>
  <si>
    <t>Cambiada la vérsion de firmware para 06 y habilitada la opción PRP+PTP, añadida la opción de alimentación 24-48 Vcc</t>
  </si>
  <si>
    <t>15 m (50 ft) TNC Male to BNC Male (Attennuation &lt; 0,05 dB/m @ 1500 MHZ)</t>
  </si>
  <si>
    <t>15 m (50 ft) TNC Macho para BNC Macho (Atenuação &lt; 0.05 dB/m @ 1500 MHz)</t>
  </si>
  <si>
    <t>25 m (82 ft) TNC Macho para BNC Macho (Atenuação &lt; 0.05 dB/m @ 1500 MHz)</t>
  </si>
  <si>
    <t>40 m (131 ft) TNC Macho para BNC Macho (Atenuação &lt; 0.05 dB/m @ 1500 MHz)</t>
  </si>
  <si>
    <t>25 m (82 ft) TNC Male to BNC Male (Attennuation &lt; 0,05 dB/m @ 1500 MHZ)</t>
  </si>
  <si>
    <t>40 m (131 ft) TNC Male to BNC Male (Attennuation &lt; 0,05 dB/m @ 1500 MHZ)</t>
  </si>
  <si>
    <t>75 m (246 ft) TNC Male to BNC Male (Attennuation &lt; 0,02 dB/m @ 1500 MHZ)</t>
  </si>
  <si>
    <t>100 m (328 ft) TNC Male to BNC Male (Attennuation &lt; 0,02 dB/m @ 1500 MHZ)</t>
  </si>
  <si>
    <t>75 m (246 ft) TNC Macho para BNC Macho (Atenuação &lt; 0.02 dB/m @ 1500 MHz)</t>
  </si>
  <si>
    <t>100 m (328 ft) TNC Macho para BNC Macho (Atenuação &lt; 0.02 dB/m @ 1500 MHz)</t>
  </si>
  <si>
    <t>15 m (50 ft) TNC macho a BNC macho (Atenuación &lt; 0.05 dB/m @ 1500 MHz)</t>
  </si>
  <si>
    <t>25 m (82 ft) TNC macho a BNC macho (Atenuación &lt; 0.05 dB/m @ 1500 MHz)</t>
  </si>
  <si>
    <t>40 m (131 ft) TNC macho a BNC macho (Atenuación &lt; 0.05 dB/m @ 1500 MHz)</t>
  </si>
  <si>
    <t>75 m (246 ft) TNC macho a BNC macho (Atenuación &lt; 0.02 dB/m @ 1500 MHz)</t>
  </si>
  <si>
    <t>100 m (328 ft) TNC macho a BNC macho (Atenuación &lt; 0.02 dB/m @ 1500 MHz)</t>
  </si>
  <si>
    <t>3.3V TNC Female active GNSS antenna</t>
  </si>
  <si>
    <t>3.3V TNC ativo fêmea antena GNSS</t>
  </si>
  <si>
    <t>3.3 V TNC activo hembra GNSS</t>
  </si>
  <si>
    <t>D</t>
  </si>
  <si>
    <t>Latest available firmware</t>
  </si>
  <si>
    <t>Última versão disponível</t>
  </si>
  <si>
    <t>Última versión disponible</t>
  </si>
  <si>
    <t>Changed antenna and antenna cable description</t>
  </si>
  <si>
    <t>Alteradas as descrições de antena e cabos</t>
  </si>
  <si>
    <t>Cambiadas las descripciones de antenas y cables</t>
  </si>
  <si>
    <t>100-250 Vdc / 110-240 Vac</t>
  </si>
  <si>
    <t>100-250 Vcc / 110-240 Vca</t>
  </si>
  <si>
    <t>New firmware release</t>
  </si>
  <si>
    <t>Nova versão de firmware</t>
  </si>
  <si>
    <t>Nueva versión de firmware</t>
  </si>
  <si>
    <t>07</t>
  </si>
  <si>
    <t>Base date:</t>
  </si>
  <si>
    <t>Key date:</t>
  </si>
  <si>
    <t>Pos</t>
  </si>
  <si>
    <t>Description</t>
  </si>
  <si>
    <t>Option</t>
  </si>
  <si>
    <t>Code</t>
  </si>
  <si>
    <t>Cost</t>
  </si>
  <si>
    <t>Avail.</t>
  </si>
  <si>
    <t>Chassis</t>
  </si>
  <si>
    <t>Y</t>
  </si>
  <si>
    <t>y</t>
  </si>
  <si>
    <t>Date Drivers start reference</t>
  </si>
  <si>
    <t>Model type:</t>
  </si>
  <si>
    <t>Date Drivers finish reference</t>
  </si>
  <si>
    <t>CORTEC:</t>
  </si>
  <si>
    <t>Orders on request</t>
  </si>
  <si>
    <t>Venda sob-consulta</t>
  </si>
  <si>
    <t>Pedidos mediante consulta</t>
  </si>
  <si>
    <t>E</t>
  </si>
  <si>
    <t>Número de versión del firmware</t>
  </si>
  <si>
    <t>Número da versão do firmware</t>
  </si>
  <si>
    <t>Ethernet Interface 1 and 2</t>
  </si>
  <si>
    <t>Interface Ethernet 1 e 2</t>
  </si>
  <si>
    <t>Interfaz Ethernet 1 y 2</t>
  </si>
  <si>
    <t>Ethernet Interface 3 and 4</t>
  </si>
  <si>
    <t>Interface Ethernet 3 e 4</t>
  </si>
  <si>
    <t>Interfaz Ethernet 3 y 4</t>
  </si>
  <si>
    <t>PRP-redundant RJ45 copper 100BASE-TX port (same function as interface 1)*</t>
  </si>
  <si>
    <t>Redundância PRP RJ45 cobre 100BASE-TX (mesma função que a interface 1)*</t>
  </si>
  <si>
    <t>Redundancia PRP RJ45 cobre 100BASE-TX (misma función que la interfaz 1) *</t>
  </si>
  <si>
    <t>RT434</t>
  </si>
  <si>
    <t>GE branding</t>
  </si>
  <si>
    <t>Marca GE</t>
  </si>
  <si>
    <t>Changed branding to GE</t>
  </si>
  <si>
    <t>Alterada a marca para GE</t>
  </si>
  <si>
    <t>Cambiada la marca para GE</t>
  </si>
  <si>
    <t>F</t>
  </si>
  <si>
    <t>15 m (50 ft) TNC Male to BNC Male (Attennuation &lt; 0.5 dB/m @ 1500 MHZ)</t>
  </si>
  <si>
    <t>15 m (50 ft) TNC Macho para BNC Macho (Atenuação &lt; 0,5 dB/m @ 1500 MHz)</t>
  </si>
  <si>
    <t>15 m (50 ft) TNC macho a BNC macho (Atenuación &lt; 0,5 dB/m @ 1500 MHz)</t>
  </si>
  <si>
    <t>25 m (82 ft) TNC Male to BNC Male (Attennuation &lt; 0.5 dB/m @ 1500 MHZ)</t>
  </si>
  <si>
    <t>25 m (82 ft) TNC Macho para BNC Macho (Atenuação &lt; 0,5 dB/m @ 1500 MHz)</t>
  </si>
  <si>
    <t>25 m (82 ft) TNC macho a BNC macho (Atenuación &lt; 0,5 dB/m @ 1500 MHz)</t>
  </si>
  <si>
    <t>40 m (131 ft) TNC Male to BNC Male (Attennuation &lt; 0.5 dB/m @ 1500 MHZ)</t>
  </si>
  <si>
    <t>40 m (131 ft) TNC Macho para BNC Macho (Atenuação &lt; 0,5 dB/m @ 1500 MHz)</t>
  </si>
  <si>
    <t>40 m (131 ft) TNC macho a BNC macho (Atenuación &lt; 0,5 dB/m @ 1500 MHz)</t>
  </si>
  <si>
    <t>75 m (246 ft) TNC Male to BNC Male (Attennuation &lt; 0.2 dB/m @ 1500 MHZ)</t>
  </si>
  <si>
    <t>75 m (246 ft) TNC Macho para BNC Macho (Atenuação &lt; 0,2 dB/m @ 1500 MHz)</t>
  </si>
  <si>
    <t>75 m (246 ft) TNC macho a BNC macho (Atenuación &lt; 0,2 dB/m @ 1500 MHz)</t>
  </si>
  <si>
    <t>100 m (328 ft) TNC Male to BNC Male (Attennuation &lt; 0.2 dB/m @ 1500 MHZ)</t>
  </si>
  <si>
    <t>100 m (328 ft) TNC Macho para BNC Macho (Atenuação &lt; 0,2 dB/m @ 1500 MHz)</t>
  </si>
  <si>
    <t>100 m (328 ft) TNC macho a BNC macho (Atenuación &lt; 0,2 dB/m @ 1500 MHz)</t>
  </si>
  <si>
    <t>Cables attenuation fixed</t>
  </si>
  <si>
    <t>Corrigido atenuação dos cabos</t>
  </si>
  <si>
    <t>Corrección em la atenuación de los cabos</t>
  </si>
  <si>
    <t>G</t>
  </si>
  <si>
    <t>08</t>
  </si>
  <si>
    <t>H</t>
  </si>
  <si>
    <t>Added firmware version 08</t>
  </si>
  <si>
    <t>Adicionada a versão de firmware 08</t>
  </si>
  <si>
    <t>Añadida la vérsion de firmware 08</t>
  </si>
  <si>
    <t>Option not available due to Ethernet Inferface 1 and 2 selection</t>
  </si>
  <si>
    <t>Opção não disponível devido à seleção da Interface Ethernet 1 e 2</t>
  </si>
  <si>
    <t>Opción no disponible debido la selección de Interfaz Ethernet 1 y 2</t>
  </si>
  <si>
    <t>Option only available if "N" or "P" selected in Ethernet Interface 1 and 2</t>
  </si>
  <si>
    <t>Opção disponível apenas se "N" ou "P" for selecionado na Interface Ethernet 1 e 2</t>
  </si>
  <si>
    <t>Esta opción sólo está disponible si "N" o "P" está seleccionado en la Interfaz Ethernet 1 y 2</t>
  </si>
  <si>
    <t>Option only available if "P" selected in Ethernet Interface 1 and 2</t>
  </si>
  <si>
    <t>Opção disponível apenas se "P" for selecionado na Interface Ethernet 1 e 2</t>
  </si>
  <si>
    <t>Esta opción sólo está disponible si "P" está seleccionado en la Interfaz Ethernet 1 y 2</t>
  </si>
  <si>
    <t>150 m (492 ft) TNC Male to BNC Male (Attennuation &lt; 0.2 dB/m @ 1500 MHZ)</t>
  </si>
  <si>
    <t>150 m (492 ft) TNC Macho para BNC Macho (Atenuação &lt; 0,2 dB/m @ 1500 MHz)</t>
  </si>
  <si>
    <t>150 m (492 ft) TNC macho a BNC macho (Atenuación &lt; 0,2 dB/m @ 1500 MHz)</t>
  </si>
  <si>
    <t>GPS Precision-Time Clock</t>
  </si>
  <si>
    <t>Name updated to "GPS Precision-Time Clock" 
Added 150 m cable option
Eth3 and 4 options depending on Eth1 and 2 selection</t>
  </si>
  <si>
    <t>Nome atualizado para "GPS Precision-Time Clock"
Adicionado opção de cabo de 150 m
Opções da Eth3 e 4 dependem da seleção da Eth1 e 2</t>
  </si>
  <si>
    <t>Nombre actualizado a "GPS Precision-Time Clock"
Añadida la opción de cable de 150 m
Opciones Eth3 y 4 dependen de la selección de Eth1 y 2</t>
  </si>
  <si>
    <t>Configurator Support for Eth Interface 2 Macro Control</t>
  </si>
  <si>
    <t>I</t>
  </si>
  <si>
    <t>THIS CORTEC FILE HAS BEEN REPLACED BY THE RT434 GNSS CORTEC FILE</t>
  </si>
  <si>
    <t>ESTE ARQUIVO DE CORTEC FOI SUBSTITUÍDO PELO ARQUIVO "RT434 GNSS"</t>
  </si>
  <si>
    <t>ESTE CORTEC FUE REEMPLAZADO POR EL ARCHIVO CORTEC "RT434 GNSS"</t>
  </si>
  <si>
    <t>Este archivo Cortec ha sido reemplazado por el archivo "RT434 GNSS"; Consulte el archivo "RT434 GNSS" para sus necesidades de pedido actuales.</t>
  </si>
  <si>
    <t>Este arquivo de Cortec foi substituído pelo arquivo "RT434 GNSS"; por favor, consulte o arquivo "RT434 GNSS" para suas necessidades atuais de pedidos.</t>
  </si>
  <si>
    <t>This Cortec file has be superseded by the RT434 GNSS Cortec File; please reference the RT434 GNSS Cortec file for your current ordering needs.</t>
  </si>
  <si>
    <t>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</si>
</sst>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6" x14ac:knownFonts="1">
    <font>
      <sz val="11"/>
      <color theme="1"/>
      <name val="Calibri"/>
      <family val="2"/>
      <scheme val="minor"/>
    </font>
    <font>
      <sz val="10"/>
      <color indexed="8"/>
      <name val="Arial"/>
      <family val="2"/>
    </font>
    <font>
      <sz val="10"/>
      <name val="Arial"/>
      <family val="2"/>
    </font>
    <font>
      <sz val="11"/>
      <name val="Arial"/>
      <family val="2"/>
    </font>
    <font>
      <sz val="9"/>
      <name val="Arial"/>
      <family val="2"/>
    </font>
    <font>
      <b/>
      <sz val="10"/>
      <name val="Arial"/>
      <family val="2"/>
    </font>
    <font>
      <sz val="10"/>
      <color indexed="9"/>
      <name val="Arial"/>
      <family val="2"/>
    </font>
    <font>
      <sz val="11"/>
      <color indexed="8"/>
      <name val="Arial"/>
      <family val="2"/>
    </font>
    <font>
      <sz val="9"/>
      <color indexed="8"/>
      <name val="Arial"/>
      <family val="2"/>
    </font>
    <font>
      <b/>
      <sz val="9"/>
      <color indexed="10"/>
      <name val="Arial"/>
      <family val="2"/>
    </font>
    <font>
      <b/>
      <sz val="9"/>
      <color indexed="8"/>
      <name val="Arial"/>
      <family val="2"/>
    </font>
    <font>
      <sz val="11"/>
      <color indexed="30"/>
      <name val="Arial"/>
      <family val="2"/>
    </font>
    <font>
      <b/>
      <sz val="14"/>
      <color indexed="10"/>
      <name val="Arial"/>
      <family val="2"/>
    </font>
    <font>
      <sz val="12"/>
      <color indexed="8"/>
      <name val="Arial"/>
      <family val="2"/>
    </font>
    <font>
      <b/>
      <sz val="14"/>
      <color indexed="8"/>
      <name val="Arial"/>
      <family val="2"/>
    </font>
    <font>
      <sz val="14"/>
      <color indexed="8"/>
      <name val="Arial"/>
      <family val="2"/>
    </font>
    <font>
      <b/>
      <sz val="11"/>
      <color indexed="8"/>
      <name val="Arial"/>
      <family val="2"/>
    </font>
    <font>
      <sz val="11"/>
      <color indexed="10"/>
      <name val="Arial"/>
      <family val="2"/>
    </font>
    <font>
      <b/>
      <sz val="12"/>
      <color indexed="10"/>
      <name val="Arial"/>
      <family val="2"/>
    </font>
    <font>
      <sz val="8"/>
      <name val="Calibri"/>
      <family val="2"/>
    </font>
    <font>
      <b/>
      <sz val="12"/>
      <color indexed="12"/>
      <name val="Arial"/>
      <family val="2"/>
    </font>
    <font>
      <b/>
      <sz val="11"/>
      <name val="Arial"/>
      <family val="2"/>
    </font>
    <font>
      <sz val="9"/>
      <color theme="1"/>
      <name val="Arial"/>
      <family val="2"/>
    </font>
    <font>
      <sz val="11"/>
      <color rgb="FFFF0000"/>
      <name val="Arial"/>
      <family val="2"/>
    </font>
    <font>
      <b/>
      <sz val="9"/>
      <color theme="0"/>
      <name val="Arial"/>
      <family val="2"/>
    </font>
    <font>
      <b/>
      <sz val="16"/>
      <color rgb="FFFF0000"/>
      <name val="Arial"/>
      <family val="2"/>
    </font>
  </fonts>
  <fills count="16">
    <fill>
      <patternFill patternType="none"/>
    </fill>
    <fill>
      <patternFill patternType="gray125"/>
    </fill>
    <fill>
      <patternFill patternType="solid">
        <fgColor indexed="13"/>
        <bgColor indexed="64"/>
      </patternFill>
    </fill>
    <fill>
      <patternFill patternType="solid">
        <fgColor indexed="55"/>
        <bgColor indexed="64"/>
      </patternFill>
    </fill>
    <fill>
      <patternFill patternType="solid">
        <fgColor indexed="23"/>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rgb="FF969696"/>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FFFF00"/>
        <bgColor indexed="64"/>
      </patternFill>
    </fill>
    <fill>
      <patternFill patternType="solid">
        <fgColor theme="1"/>
        <bgColor indexed="64"/>
      </patternFill>
    </fill>
    <fill>
      <patternFill patternType="solid">
        <fgColor theme="1" tint="0.499984740745262"/>
        <bgColor indexed="64"/>
      </patternFill>
    </fill>
  </fills>
  <borders count="35">
    <border>
      <left/>
      <right/>
      <top/>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ck">
        <color indexed="64"/>
      </left>
      <right/>
      <top/>
      <bottom/>
      <diagonal/>
    </border>
    <border>
      <left style="thin">
        <color indexed="64"/>
      </left>
      <right/>
      <top/>
      <bottom style="thin">
        <color indexed="64"/>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indexed="10"/>
      </left>
      <right/>
      <top/>
      <bottom/>
      <diagonal/>
    </border>
    <border>
      <left/>
      <right style="thick">
        <color indexed="10"/>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s>
  <cellStyleXfs count="4">
    <xf numFmtId="0" fontId="0" fillId="0" borderId="0"/>
    <xf numFmtId="0" fontId="2" fillId="0" borderId="0"/>
    <xf numFmtId="0" fontId="2" fillId="0" borderId="0"/>
    <xf numFmtId="0" fontId="3" fillId="0" borderId="0"/>
  </cellStyleXfs>
  <cellXfs count="278">
    <xf numFmtId="0" fontId="0" fillId="0" borderId="0" xfId="0"/>
    <xf numFmtId="0" fontId="3" fillId="0" borderId="0" xfId="3"/>
    <xf numFmtId="0" fontId="7" fillId="0" borderId="0" xfId="0" applyFont="1"/>
    <xf numFmtId="0" fontId="8" fillId="0" borderId="0" xfId="0" applyFont="1"/>
    <xf numFmtId="0" fontId="10" fillId="0" borderId="3" xfId="0" applyFont="1" applyBorder="1"/>
    <xf numFmtId="0" fontId="8" fillId="0" borderId="1" xfId="0" applyFont="1" applyBorder="1" applyAlignment="1">
      <alignment horizontal="center" vertical="center"/>
    </xf>
    <xf numFmtId="0" fontId="10" fillId="0" borderId="5" xfId="0" applyFont="1" applyBorder="1"/>
    <xf numFmtId="0" fontId="4" fillId="0" borderId="6" xfId="0" applyNumberFormat="1" applyFont="1" applyBorder="1" applyAlignment="1">
      <alignment horizontal="center" vertical="center"/>
    </xf>
    <xf numFmtId="0" fontId="4" fillId="0" borderId="7" xfId="0" applyNumberFormat="1" applyFont="1" applyBorder="1" applyAlignment="1">
      <alignment horizontal="center" vertical="center"/>
    </xf>
    <xf numFmtId="0" fontId="8" fillId="0" borderId="0" xfId="0" applyFont="1" applyAlignment="1">
      <alignment horizontal="center"/>
    </xf>
    <xf numFmtId="0" fontId="8" fillId="0" borderId="6" xfId="0" applyFont="1" applyBorder="1" applyAlignment="1">
      <alignment horizontal="center" vertical="center"/>
    </xf>
    <xf numFmtId="0" fontId="8" fillId="0" borderId="6" xfId="0" applyFont="1" applyBorder="1" applyAlignment="1">
      <alignment horizontal="center"/>
    </xf>
    <xf numFmtId="0" fontId="8" fillId="0" borderId="7" xfId="0" applyFont="1" applyBorder="1" applyAlignment="1">
      <alignment horizontal="center"/>
    </xf>
    <xf numFmtId="0" fontId="8" fillId="0" borderId="2" xfId="0" applyFont="1" applyBorder="1" applyAlignment="1">
      <alignment horizontal="center"/>
    </xf>
    <xf numFmtId="0" fontId="8" fillId="0" borderId="1" xfId="0" applyFont="1" applyBorder="1" applyAlignment="1">
      <alignment horizontal="center"/>
    </xf>
    <xf numFmtId="0" fontId="8" fillId="0" borderId="0" xfId="0" applyFont="1" applyAlignment="1">
      <alignment horizontal="center" vertical="center"/>
    </xf>
    <xf numFmtId="0" fontId="10" fillId="0" borderId="8" xfId="0" applyFont="1" applyBorder="1"/>
    <xf numFmtId="0" fontId="8" fillId="0" borderId="9" xfId="0" applyFont="1" applyBorder="1" applyAlignment="1">
      <alignment horizontal="center"/>
    </xf>
    <xf numFmtId="0" fontId="10" fillId="0" borderId="0" xfId="0" applyFont="1" applyBorder="1"/>
    <xf numFmtId="0" fontId="8" fillId="2" borderId="8" xfId="0" applyFont="1" applyFill="1" applyBorder="1" applyAlignment="1">
      <alignment horizontal="center"/>
    </xf>
    <xf numFmtId="0" fontId="8" fillId="0" borderId="10" xfId="0" applyFont="1" applyBorder="1" applyAlignment="1">
      <alignment horizontal="center"/>
    </xf>
    <xf numFmtId="0" fontId="9" fillId="0" borderId="0" xfId="0" applyFont="1"/>
    <xf numFmtId="14" fontId="9" fillId="0" borderId="3" xfId="0" applyNumberFormat="1" applyFont="1" applyBorder="1" applyAlignment="1">
      <alignment horizontal="left"/>
    </xf>
    <xf numFmtId="0" fontId="7" fillId="0" borderId="0" xfId="0" applyFont="1" applyAlignment="1">
      <alignment horizontal="center" vertical="center"/>
    </xf>
    <xf numFmtId="0" fontId="12" fillId="0" borderId="8" xfId="0" applyFont="1" applyBorder="1" applyAlignment="1">
      <alignment horizontal="center" vertical="center"/>
    </xf>
    <xf numFmtId="0" fontId="7" fillId="3" borderId="1" xfId="0" applyFont="1" applyFill="1" applyBorder="1" applyAlignment="1">
      <alignment horizontal="center" vertical="center"/>
    </xf>
    <xf numFmtId="0" fontId="7" fillId="4" borderId="1" xfId="0" applyFont="1" applyFill="1" applyBorder="1" applyAlignment="1">
      <alignment horizontal="center" vertical="center"/>
    </xf>
    <xf numFmtId="0" fontId="7" fillId="5" borderId="1" xfId="0" applyFont="1" applyFill="1" applyBorder="1" applyAlignment="1">
      <alignment horizontal="center" vertical="center"/>
    </xf>
    <xf numFmtId="0" fontId="12" fillId="0" borderId="6" xfId="0" applyFont="1" applyBorder="1" applyAlignment="1">
      <alignment horizontal="center" vertical="center"/>
    </xf>
    <xf numFmtId="0" fontId="7" fillId="3" borderId="3" xfId="0" applyFont="1" applyFill="1" applyBorder="1" applyAlignment="1">
      <alignment horizontal="center" vertical="center"/>
    </xf>
    <xf numFmtId="0" fontId="7" fillId="4" borderId="3" xfId="0" applyFont="1" applyFill="1" applyBorder="1" applyAlignment="1">
      <alignment horizontal="center" vertical="center"/>
    </xf>
    <xf numFmtId="0" fontId="7" fillId="5" borderId="3"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5" xfId="0" applyFont="1" applyFill="1" applyBorder="1" applyAlignment="1">
      <alignment horizontal="center" vertical="center"/>
    </xf>
    <xf numFmtId="0" fontId="7" fillId="4" borderId="5" xfId="0" applyFont="1" applyFill="1" applyBorder="1" applyAlignment="1">
      <alignment horizontal="center" vertical="center"/>
    </xf>
    <xf numFmtId="0" fontId="7" fillId="5" borderId="9" xfId="0" applyFont="1" applyFill="1" applyBorder="1" applyAlignment="1">
      <alignment horizontal="center" vertical="center"/>
    </xf>
    <xf numFmtId="0" fontId="13" fillId="0" borderId="0" xfId="0" applyFont="1"/>
    <xf numFmtId="0" fontId="14" fillId="0" borderId="8" xfId="0" applyFont="1" applyBorder="1"/>
    <xf numFmtId="0" fontId="7" fillId="0" borderId="12" xfId="0" applyFont="1" applyBorder="1"/>
    <xf numFmtId="0" fontId="15" fillId="0" borderId="12" xfId="0" applyFont="1" applyBorder="1"/>
    <xf numFmtId="0" fontId="15" fillId="0" borderId="4" xfId="0" applyFont="1" applyBorder="1"/>
    <xf numFmtId="0" fontId="8" fillId="0" borderId="7" xfId="0" applyFont="1" applyBorder="1" applyAlignment="1">
      <alignment horizontal="center" vertical="center"/>
    </xf>
    <xf numFmtId="0" fontId="7" fillId="0" borderId="0" xfId="0" applyFont="1" applyBorder="1"/>
    <xf numFmtId="0" fontId="2" fillId="0" borderId="0" xfId="2" applyBorder="1"/>
    <xf numFmtId="0" fontId="7" fillId="0" borderId="13" xfId="0" applyFont="1" applyBorder="1"/>
    <xf numFmtId="0" fontId="7" fillId="0" borderId="14" xfId="0" applyFont="1" applyBorder="1"/>
    <xf numFmtId="0" fontId="7" fillId="0" borderId="15" xfId="0" applyFont="1" applyBorder="1"/>
    <xf numFmtId="0" fontId="20" fillId="0" borderId="16" xfId="0" applyFont="1" applyBorder="1"/>
    <xf numFmtId="0" fontId="8" fillId="0" borderId="8" xfId="0" quotePrefix="1" applyFont="1" applyBorder="1" applyAlignment="1">
      <alignment horizontal="center"/>
    </xf>
    <xf numFmtId="0" fontId="2" fillId="0" borderId="0" xfId="2" applyBorder="1" applyAlignment="1">
      <alignment horizontal="center"/>
    </xf>
    <xf numFmtId="0" fontId="2" fillId="0" borderId="0" xfId="2"/>
    <xf numFmtId="0" fontId="2" fillId="0" borderId="5" xfId="2" applyFont="1" applyBorder="1"/>
    <xf numFmtId="0" fontId="2" fillId="0" borderId="3" xfId="2" applyFont="1" applyBorder="1"/>
    <xf numFmtId="0" fontId="2" fillId="0" borderId="3" xfId="2" applyFont="1" applyBorder="1" applyAlignment="1">
      <alignment horizontal="right"/>
    </xf>
    <xf numFmtId="0" fontId="2" fillId="0" borderId="8" xfId="2" quotePrefix="1" applyFont="1" applyBorder="1" applyAlignment="1">
      <alignment horizontal="center"/>
    </xf>
    <xf numFmtId="0" fontId="2" fillId="0" borderId="8" xfId="2" applyBorder="1" applyAlignment="1">
      <alignment horizontal="center"/>
    </xf>
    <xf numFmtId="0" fontId="2" fillId="0" borderId="8" xfId="2" quotePrefix="1" applyBorder="1" applyAlignment="1">
      <alignment horizontal="center"/>
    </xf>
    <xf numFmtId="0" fontId="5" fillId="0" borderId="11" xfId="2" applyFont="1" applyBorder="1"/>
    <xf numFmtId="0" fontId="2" fillId="5" borderId="0" xfId="2" applyFill="1" applyBorder="1" applyAlignment="1">
      <alignment horizontal="center"/>
    </xf>
    <xf numFmtId="0" fontId="2" fillId="3" borderId="0" xfId="2" applyFill="1" applyBorder="1" applyAlignment="1">
      <alignment horizontal="center"/>
    </xf>
    <xf numFmtId="0" fontId="2" fillId="4" borderId="0" xfId="2" applyFill="1" applyBorder="1" applyAlignment="1">
      <alignment horizontal="center"/>
    </xf>
    <xf numFmtId="0" fontId="2" fillId="8" borderId="0" xfId="2" applyFill="1" applyBorder="1" applyAlignment="1">
      <alignment horizontal="center"/>
    </xf>
    <xf numFmtId="0" fontId="2" fillId="9" borderId="0" xfId="2" applyFill="1" applyBorder="1" applyAlignment="1">
      <alignment horizontal="center"/>
    </xf>
    <xf numFmtId="0" fontId="2" fillId="10" borderId="0" xfId="2" applyFill="1" applyBorder="1" applyAlignment="1">
      <alignment horizontal="center"/>
    </xf>
    <xf numFmtId="0" fontId="2" fillId="0" borderId="11" xfId="2" applyFont="1" applyBorder="1"/>
    <xf numFmtId="0" fontId="2" fillId="0" borderId="0" xfId="2" applyFont="1" applyBorder="1"/>
    <xf numFmtId="0" fontId="2" fillId="0" borderId="8" xfId="2" applyFont="1" applyBorder="1" applyAlignment="1">
      <alignment horizontal="center"/>
    </xf>
    <xf numFmtId="0" fontId="2" fillId="0" borderId="0" xfId="2" applyFont="1"/>
    <xf numFmtId="0" fontId="2" fillId="0" borderId="17" xfId="2" applyFont="1" applyBorder="1"/>
    <xf numFmtId="0" fontId="2" fillId="0" borderId="18" xfId="2" applyFont="1" applyBorder="1"/>
    <xf numFmtId="0" fontId="2" fillId="0" borderId="18" xfId="2" applyFont="1" applyBorder="1" applyAlignment="1">
      <alignment horizontal="center"/>
    </xf>
    <xf numFmtId="0" fontId="2" fillId="0" borderId="0" xfId="2" applyFont="1" applyBorder="1" applyAlignment="1">
      <alignment horizontal="center"/>
    </xf>
    <xf numFmtId="0" fontId="2" fillId="0" borderId="8" xfId="2" applyFont="1" applyFill="1" applyBorder="1" applyAlignment="1">
      <alignment horizontal="center"/>
    </xf>
    <xf numFmtId="0" fontId="2" fillId="0" borderId="18" xfId="2" applyFont="1" applyFill="1" applyBorder="1" applyAlignment="1">
      <alignment horizontal="center"/>
    </xf>
    <xf numFmtId="0" fontId="2" fillId="0" borderId="0" xfId="2" applyFont="1" applyFill="1" applyBorder="1" applyAlignment="1">
      <alignment horizontal="center"/>
    </xf>
    <xf numFmtId="0" fontId="2" fillId="0" borderId="3" xfId="2" applyFont="1" applyBorder="1" applyAlignment="1">
      <alignment horizontal="center"/>
    </xf>
    <xf numFmtId="0" fontId="2" fillId="0" borderId="3" xfId="2" applyFont="1" applyFill="1" applyBorder="1" applyAlignment="1">
      <alignment horizontal="center"/>
    </xf>
    <xf numFmtId="0" fontId="2" fillId="0" borderId="18" xfId="2" applyBorder="1"/>
    <xf numFmtId="0" fontId="2" fillId="0" borderId="0" xfId="2" applyAlignment="1">
      <alignment horizontal="center"/>
    </xf>
    <xf numFmtId="0" fontId="7" fillId="0" borderId="19" xfId="0" applyFont="1" applyBorder="1"/>
    <xf numFmtId="0" fontId="7" fillId="0" borderId="20" xfId="0" applyFont="1" applyBorder="1"/>
    <xf numFmtId="0" fontId="11" fillId="0" borderId="0" xfId="0" applyFont="1" applyBorder="1"/>
    <xf numFmtId="0" fontId="7" fillId="3" borderId="0" xfId="0" applyFont="1" applyFill="1" applyBorder="1" applyAlignment="1">
      <alignment horizontal="center" vertical="center"/>
    </xf>
    <xf numFmtId="0" fontId="20" fillId="0" borderId="16" xfId="0" applyFont="1" applyBorder="1" applyAlignment="1">
      <alignment vertical="center"/>
    </xf>
    <xf numFmtId="0" fontId="7" fillId="0" borderId="0" xfId="0" applyFont="1" applyBorder="1" applyAlignment="1">
      <alignment vertical="center"/>
    </xf>
    <xf numFmtId="0" fontId="2" fillId="0" borderId="18" xfId="2" applyBorder="1" applyAlignment="1">
      <alignment horizontal="center"/>
    </xf>
    <xf numFmtId="0" fontId="8" fillId="0" borderId="9" xfId="0" applyFont="1" applyBorder="1" applyAlignment="1">
      <alignment horizontal="center" vertical="center"/>
    </xf>
    <xf numFmtId="0" fontId="7" fillId="5" borderId="18" xfId="0" applyFont="1" applyFill="1" applyBorder="1" applyAlignment="1">
      <alignment horizontal="center" vertical="center"/>
    </xf>
    <xf numFmtId="0" fontId="7" fillId="5" borderId="10" xfId="0" applyFont="1" applyFill="1" applyBorder="1" applyAlignment="1">
      <alignment horizontal="center" vertical="center"/>
    </xf>
    <xf numFmtId="0" fontId="2" fillId="0" borderId="10" xfId="2" applyBorder="1" applyAlignment="1">
      <alignment horizontal="center"/>
    </xf>
    <xf numFmtId="0" fontId="7" fillId="4" borderId="17" xfId="0" applyFont="1" applyFill="1" applyBorder="1" applyAlignment="1">
      <alignment horizontal="center" vertical="center"/>
    </xf>
    <xf numFmtId="0" fontId="12" fillId="0" borderId="7" xfId="0" applyFont="1" applyBorder="1" applyAlignment="1">
      <alignment horizontal="center" vertical="center"/>
    </xf>
    <xf numFmtId="0" fontId="7" fillId="4" borderId="18" xfId="0" applyFont="1" applyFill="1" applyBorder="1" applyAlignment="1">
      <alignment horizontal="center" vertical="center"/>
    </xf>
    <xf numFmtId="0" fontId="7" fillId="5" borderId="17" xfId="0" applyFont="1" applyFill="1" applyBorder="1" applyAlignment="1">
      <alignment horizontal="center" vertical="center"/>
    </xf>
    <xf numFmtId="0" fontId="7" fillId="5" borderId="21" xfId="0" applyFont="1" applyFill="1" applyBorder="1" applyAlignment="1">
      <alignment horizontal="center" vertical="center"/>
    </xf>
    <xf numFmtId="0" fontId="5" fillId="0" borderId="6" xfId="0" applyFont="1" applyFill="1" applyBorder="1"/>
    <xf numFmtId="0" fontId="2" fillId="0" borderId="0" xfId="2" applyFont="1" applyFill="1" applyBorder="1"/>
    <xf numFmtId="0" fontId="2" fillId="0" borderId="11" xfId="2" applyFont="1" applyFill="1" applyBorder="1"/>
    <xf numFmtId="0" fontId="2" fillId="0" borderId="17" xfId="2" applyFont="1" applyFill="1" applyBorder="1"/>
    <xf numFmtId="0" fontId="2" fillId="0" borderId="18" xfId="2" applyFont="1" applyFill="1" applyBorder="1"/>
    <xf numFmtId="0" fontId="2" fillId="0" borderId="3" xfId="2" applyFont="1" applyFill="1" applyBorder="1"/>
    <xf numFmtId="164" fontId="2" fillId="0" borderId="8" xfId="2" applyNumberFormat="1" applyFont="1" applyFill="1" applyBorder="1" applyAlignment="1">
      <alignment horizontal="center"/>
    </xf>
    <xf numFmtId="0" fontId="8" fillId="0" borderId="0" xfId="0" applyFont="1" applyBorder="1"/>
    <xf numFmtId="0" fontId="7" fillId="4" borderId="10" xfId="0" applyFont="1" applyFill="1" applyBorder="1" applyAlignment="1">
      <alignment horizontal="center" vertical="center"/>
    </xf>
    <xf numFmtId="0" fontId="7" fillId="4" borderId="21" xfId="0" applyFont="1" applyFill="1" applyBorder="1" applyAlignment="1">
      <alignment horizontal="center" vertical="center"/>
    </xf>
    <xf numFmtId="0" fontId="6" fillId="6" borderId="5" xfId="2" applyFont="1" applyFill="1" applyBorder="1" applyAlignment="1">
      <alignment vertical="center"/>
    </xf>
    <xf numFmtId="0" fontId="6" fillId="0" borderId="7" xfId="2" applyFont="1" applyFill="1" applyBorder="1" applyAlignment="1">
      <alignment horizontal="center" vertical="center"/>
    </xf>
    <xf numFmtId="0" fontId="2" fillId="0" borderId="0" xfId="2" applyAlignment="1">
      <alignment vertical="center"/>
    </xf>
    <xf numFmtId="0" fontId="2" fillId="0" borderId="7" xfId="2" applyFont="1" applyFill="1" applyBorder="1" applyAlignment="1">
      <alignment horizontal="center"/>
    </xf>
    <xf numFmtId="0" fontId="2" fillId="0" borderId="7" xfId="2" applyFill="1" applyBorder="1" applyAlignment="1">
      <alignment horizontal="center"/>
    </xf>
    <xf numFmtId="0" fontId="2" fillId="9" borderId="1" xfId="2" applyFill="1" applyBorder="1" applyAlignment="1">
      <alignment horizontal="center"/>
    </xf>
    <xf numFmtId="0" fontId="2" fillId="0" borderId="21" xfId="2" applyFont="1" applyFill="1" applyBorder="1" applyAlignment="1">
      <alignment horizontal="center"/>
    </xf>
    <xf numFmtId="0" fontId="2" fillId="0" borderId="21" xfId="2" applyFont="1" applyBorder="1"/>
    <xf numFmtId="0" fontId="2" fillId="0" borderId="12" xfId="2" applyBorder="1"/>
    <xf numFmtId="0" fontId="2" fillId="0" borderId="12" xfId="2" applyBorder="1" applyAlignment="1">
      <alignment horizontal="center"/>
    </xf>
    <xf numFmtId="0" fontId="2" fillId="0" borderId="17" xfId="2" applyBorder="1"/>
    <xf numFmtId="0" fontId="2" fillId="0" borderId="11" xfId="2" applyBorder="1"/>
    <xf numFmtId="0" fontId="10" fillId="0" borderId="5" xfId="0" applyFont="1" applyBorder="1" applyAlignment="1">
      <alignment horizontal="left" vertical="center"/>
    </xf>
    <xf numFmtId="0" fontId="8" fillId="0" borderId="5" xfId="0" applyFont="1" applyBorder="1" applyAlignment="1">
      <alignment horizontal="center"/>
    </xf>
    <xf numFmtId="0" fontId="7" fillId="11" borderId="0" xfId="0" applyFont="1" applyFill="1" applyBorder="1" applyAlignment="1">
      <alignment horizontal="center" vertical="center"/>
    </xf>
    <xf numFmtId="0" fontId="7" fillId="10" borderId="0" xfId="0" applyFont="1" applyFill="1" applyBorder="1" applyAlignment="1">
      <alignment horizontal="center" vertical="center"/>
    </xf>
    <xf numFmtId="0" fontId="7" fillId="12" borderId="0" xfId="0" applyFont="1" applyFill="1" applyBorder="1" applyAlignment="1">
      <alignment horizontal="center" vertical="center"/>
    </xf>
    <xf numFmtId="0" fontId="7" fillId="12" borderId="18" xfId="0" applyFont="1" applyFill="1" applyBorder="1" applyAlignment="1">
      <alignment horizontal="center" vertical="center"/>
    </xf>
    <xf numFmtId="0" fontId="7" fillId="10" borderId="18" xfId="0" applyFont="1" applyFill="1" applyBorder="1" applyAlignment="1">
      <alignment horizontal="center" vertical="center"/>
    </xf>
    <xf numFmtId="0" fontId="7" fillId="11" borderId="18" xfId="0" applyFont="1" applyFill="1" applyBorder="1" applyAlignment="1">
      <alignment horizontal="center" vertical="center"/>
    </xf>
    <xf numFmtId="0" fontId="7" fillId="12" borderId="21" xfId="0" applyFont="1" applyFill="1" applyBorder="1" applyAlignment="1">
      <alignment horizontal="center" vertical="center"/>
    </xf>
    <xf numFmtId="0" fontId="7" fillId="10" borderId="21" xfId="0" applyFont="1" applyFill="1" applyBorder="1" applyAlignment="1">
      <alignment horizontal="center" vertical="center"/>
    </xf>
    <xf numFmtId="0" fontId="7" fillId="11" borderId="21" xfId="0" applyFont="1" applyFill="1" applyBorder="1" applyAlignment="1">
      <alignment horizontal="center" vertical="center"/>
    </xf>
    <xf numFmtId="0" fontId="7" fillId="0" borderId="19" xfId="0" applyFont="1" applyBorder="1" applyAlignment="1">
      <alignment horizontal="center" vertical="center"/>
    </xf>
    <xf numFmtId="0" fontId="7" fillId="0" borderId="23" xfId="0" applyFont="1" applyBorder="1"/>
    <xf numFmtId="0" fontId="13" fillId="0" borderId="23" xfId="0" applyFont="1" applyBorder="1"/>
    <xf numFmtId="0" fontId="13" fillId="0" borderId="13" xfId="0" applyFont="1" applyBorder="1"/>
    <xf numFmtId="0" fontId="20" fillId="0" borderId="24" xfId="0" applyFont="1" applyBorder="1" applyAlignment="1">
      <alignment vertical="center"/>
    </xf>
    <xf numFmtId="0" fontId="7" fillId="0" borderId="24" xfId="0" applyFont="1" applyBorder="1"/>
    <xf numFmtId="0" fontId="7" fillId="0" borderId="25" xfId="0" applyFont="1" applyBorder="1"/>
    <xf numFmtId="0" fontId="7" fillId="0" borderId="14" xfId="0" applyFont="1" applyBorder="1" applyAlignment="1">
      <alignment horizontal="center" vertical="center"/>
    </xf>
    <xf numFmtId="0" fontId="22" fillId="0" borderId="0" xfId="0" applyFont="1" applyAlignment="1">
      <alignment horizontal="center" vertical="center"/>
    </xf>
    <xf numFmtId="0" fontId="22" fillId="0" borderId="0" xfId="0" applyFont="1"/>
    <xf numFmtId="0" fontId="22" fillId="0" borderId="0" xfId="0" applyFont="1" applyAlignment="1">
      <alignment horizontal="center"/>
    </xf>
    <xf numFmtId="0" fontId="22" fillId="0" borderId="0" xfId="0" applyFont="1" applyAlignment="1">
      <alignment wrapText="1"/>
    </xf>
    <xf numFmtId="0" fontId="22" fillId="13" borderId="8" xfId="0" applyFont="1" applyFill="1" applyBorder="1" applyAlignment="1">
      <alignment horizontal="center" vertical="center"/>
    </xf>
    <xf numFmtId="0" fontId="22" fillId="13" borderId="12" xfId="0" applyFont="1" applyFill="1" applyBorder="1"/>
    <xf numFmtId="0" fontId="22" fillId="13" borderId="8" xfId="0" applyFont="1" applyFill="1" applyBorder="1" applyAlignment="1">
      <alignment horizontal="center"/>
    </xf>
    <xf numFmtId="0" fontId="22" fillId="0" borderId="0" xfId="0" applyFont="1" applyBorder="1"/>
    <xf numFmtId="0" fontId="22" fillId="0" borderId="7" xfId="0" applyFont="1" applyBorder="1" applyAlignment="1">
      <alignment horizontal="center" vertical="center"/>
    </xf>
    <xf numFmtId="0" fontId="22" fillId="0" borderId="7" xfId="0" applyFont="1" applyBorder="1" applyAlignment="1">
      <alignment horizontal="center"/>
    </xf>
    <xf numFmtId="0" fontId="22" fillId="0" borderId="9" xfId="0" applyFont="1" applyBorder="1" applyAlignment="1">
      <alignment horizontal="center" vertical="center"/>
    </xf>
    <xf numFmtId="0" fontId="22" fillId="0" borderId="18" xfId="0" applyFont="1" applyBorder="1"/>
    <xf numFmtId="0" fontId="22" fillId="0" borderId="9" xfId="0" applyFont="1" applyBorder="1" applyAlignment="1">
      <alignment horizontal="center"/>
    </xf>
    <xf numFmtId="0" fontId="22" fillId="0" borderId="0" xfId="0" applyFont="1" applyAlignment="1">
      <alignment vertical="center" wrapText="1"/>
    </xf>
    <xf numFmtId="0" fontId="3" fillId="0" borderId="24" xfId="3" applyBorder="1"/>
    <xf numFmtId="0" fontId="3" fillId="0" borderId="0" xfId="3" applyBorder="1"/>
    <xf numFmtId="0" fontId="3" fillId="0" borderId="13" xfId="3" applyBorder="1"/>
    <xf numFmtId="0" fontId="3" fillId="0" borderId="25" xfId="3" applyBorder="1"/>
    <xf numFmtId="0" fontId="3" fillId="0" borderId="14" xfId="3" applyBorder="1"/>
    <xf numFmtId="0" fontId="3" fillId="0" borderId="15" xfId="3" applyBorder="1"/>
    <xf numFmtId="0" fontId="6" fillId="6" borderId="3" xfId="2" applyFont="1" applyFill="1" applyBorder="1" applyAlignment="1">
      <alignment vertical="center"/>
    </xf>
    <xf numFmtId="0" fontId="6" fillId="6" borderId="2" xfId="2" applyFont="1" applyFill="1" applyBorder="1" applyAlignment="1">
      <alignment vertical="center"/>
    </xf>
    <xf numFmtId="0" fontId="5" fillId="0" borderId="0" xfId="2" applyFont="1" applyBorder="1"/>
    <xf numFmtId="0" fontId="5" fillId="0" borderId="0" xfId="0" applyFont="1" applyFill="1" applyBorder="1"/>
    <xf numFmtId="0" fontId="5" fillId="0" borderId="3" xfId="0" applyFont="1" applyFill="1" applyBorder="1"/>
    <xf numFmtId="0" fontId="2" fillId="0" borderId="12" xfId="2" applyFont="1" applyBorder="1"/>
    <xf numFmtId="0" fontId="5" fillId="0" borderId="3" xfId="2" applyFont="1" applyBorder="1"/>
    <xf numFmtId="0" fontId="22" fillId="0" borderId="0" xfId="0" applyFont="1" applyAlignment="1">
      <alignment horizontal="left" vertical="center" wrapText="1"/>
    </xf>
    <xf numFmtId="0" fontId="18" fillId="0" borderId="21" xfId="0" applyFont="1" applyBorder="1" applyProtection="1"/>
    <xf numFmtId="0" fontId="18" fillId="0" borderId="12" xfId="0" applyFont="1" applyBorder="1" applyProtection="1"/>
    <xf numFmtId="0" fontId="18" fillId="0" borderId="26" xfId="0" applyFont="1" applyBorder="1" applyProtection="1"/>
    <xf numFmtId="0" fontId="18" fillId="0" borderId="0" xfId="0" applyFont="1" applyBorder="1" applyProtection="1"/>
    <xf numFmtId="0" fontId="7" fillId="0" borderId="0" xfId="0" applyFont="1" applyBorder="1" applyProtection="1"/>
    <xf numFmtId="0" fontId="7" fillId="0" borderId="0" xfId="0" applyFont="1" applyProtection="1"/>
    <xf numFmtId="0" fontId="16" fillId="0" borderId="11" xfId="0" applyFont="1" applyBorder="1" applyProtection="1"/>
    <xf numFmtId="0" fontId="16" fillId="0" borderId="0" xfId="0" applyFont="1" applyBorder="1" applyProtection="1"/>
    <xf numFmtId="0" fontId="7" fillId="0" borderId="13" xfId="0" applyFont="1" applyBorder="1" applyProtection="1"/>
    <xf numFmtId="0" fontId="23" fillId="0" borderId="11" xfId="0" applyFont="1" applyBorder="1" applyProtection="1"/>
    <xf numFmtId="0" fontId="23" fillId="0" borderId="0" xfId="0" applyFont="1" applyBorder="1" applyProtection="1"/>
    <xf numFmtId="0" fontId="17" fillId="0" borderId="11" xfId="0" applyFont="1" applyBorder="1" applyProtection="1"/>
    <xf numFmtId="0" fontId="17" fillId="0" borderId="0" xfId="0" applyFont="1" applyBorder="1" applyProtection="1"/>
    <xf numFmtId="0" fontId="21" fillId="0" borderId="11" xfId="0" applyFont="1" applyBorder="1" applyProtection="1"/>
    <xf numFmtId="0" fontId="21" fillId="0" borderId="0" xfId="0" applyFont="1" applyBorder="1" applyProtection="1"/>
    <xf numFmtId="0" fontId="7" fillId="0" borderId="19" xfId="0" applyFont="1" applyBorder="1" applyProtection="1"/>
    <xf numFmtId="0" fontId="7" fillId="0" borderId="20" xfId="0" applyFont="1" applyBorder="1" applyProtection="1"/>
    <xf numFmtId="0" fontId="2" fillId="0" borderId="24" xfId="2" applyBorder="1" applyProtection="1"/>
    <xf numFmtId="0" fontId="2" fillId="0" borderId="0" xfId="2" applyBorder="1" applyProtection="1"/>
    <xf numFmtId="0" fontId="2" fillId="0" borderId="13" xfId="2" applyBorder="1" applyProtection="1"/>
    <xf numFmtId="0" fontId="2" fillId="0" borderId="24" xfId="2" applyBorder="1" applyAlignment="1" applyProtection="1">
      <alignment horizontal="center"/>
    </xf>
    <xf numFmtId="0" fontId="5" fillId="0" borderId="8" xfId="2" applyFont="1" applyBorder="1" applyAlignment="1" applyProtection="1">
      <alignment horizontal="center"/>
    </xf>
    <xf numFmtId="0" fontId="2" fillId="0" borderId="21" xfId="2" applyFont="1" applyBorder="1" applyAlignment="1" applyProtection="1"/>
    <xf numFmtId="0" fontId="2" fillId="0" borderId="0" xfId="2" applyFont="1" applyBorder="1" applyAlignment="1" applyProtection="1"/>
    <xf numFmtId="16" fontId="7" fillId="0" borderId="0" xfId="0" applyNumberFormat="1" applyFont="1" applyBorder="1" applyProtection="1"/>
    <xf numFmtId="0" fontId="7" fillId="0" borderId="14" xfId="0" applyFont="1" applyBorder="1" applyProtection="1"/>
    <xf numFmtId="0" fontId="7" fillId="0" borderId="15" xfId="0" applyFont="1" applyBorder="1" applyProtection="1"/>
    <xf numFmtId="0" fontId="18" fillId="0" borderId="12" xfId="0" applyFont="1" applyBorder="1" applyAlignment="1" applyProtection="1">
      <alignment horizontal="center"/>
    </xf>
    <xf numFmtId="0" fontId="5" fillId="0" borderId="8" xfId="2" applyFont="1" applyBorder="1" applyAlignment="1">
      <alignment horizontal="center"/>
    </xf>
    <xf numFmtId="0" fontId="2" fillId="0" borderId="21" xfId="2" applyFont="1" applyBorder="1" applyAlignment="1">
      <alignment horizontal="left"/>
    </xf>
    <xf numFmtId="14" fontId="2" fillId="0" borderId="26" xfId="2" applyNumberFormat="1" applyFont="1" applyBorder="1" applyAlignment="1">
      <alignment horizontal="center"/>
    </xf>
    <xf numFmtId="0" fontId="5" fillId="0" borderId="8" xfId="2" applyFont="1" applyBorder="1" applyAlignment="1" applyProtection="1">
      <alignment horizontal="center" vertical="center"/>
    </xf>
    <xf numFmtId="0" fontId="2" fillId="0" borderId="21" xfId="2" applyFont="1" applyBorder="1" applyAlignment="1" applyProtection="1">
      <alignment vertical="center" wrapText="1"/>
    </xf>
    <xf numFmtId="14" fontId="2" fillId="0" borderId="26" xfId="2" applyNumberFormat="1" applyFont="1" applyBorder="1" applyAlignment="1">
      <alignment horizontal="center" vertical="center"/>
    </xf>
    <xf numFmtId="0" fontId="2" fillId="0" borderId="9" xfId="2" applyFont="1" applyBorder="1" applyAlignment="1">
      <alignment horizontal="center"/>
    </xf>
    <xf numFmtId="0" fontId="8" fillId="0" borderId="21" xfId="0" applyFont="1" applyBorder="1" applyAlignment="1">
      <alignment horizontal="center"/>
    </xf>
    <xf numFmtId="0" fontId="8" fillId="0" borderId="4" xfId="0" applyFont="1" applyBorder="1" applyAlignment="1">
      <alignment horizontal="right"/>
    </xf>
    <xf numFmtId="14" fontId="9" fillId="0" borderId="4" xfId="0" applyNumberFormat="1" applyFont="1" applyBorder="1" applyAlignment="1">
      <alignment horizontal="centerContinuous" vertical="center"/>
    </xf>
    <xf numFmtId="14" fontId="8" fillId="0" borderId="8" xfId="0" applyNumberFormat="1" applyFont="1" applyBorder="1" applyAlignment="1">
      <alignment horizontal="centerContinuous" vertical="center"/>
    </xf>
    <xf numFmtId="14" fontId="8" fillId="0" borderId="4" xfId="0" applyNumberFormat="1" applyFont="1" applyBorder="1" applyAlignment="1">
      <alignment horizontal="centerContinuous" vertical="center"/>
    </xf>
    <xf numFmtId="0" fontId="24" fillId="14" borderId="17" xfId="0" applyFont="1" applyFill="1" applyBorder="1" applyAlignment="1">
      <alignment horizontal="center"/>
    </xf>
    <xf numFmtId="0" fontId="24" fillId="14" borderId="9" xfId="0" applyFont="1" applyFill="1" applyBorder="1" applyAlignment="1">
      <alignment horizontal="center"/>
    </xf>
    <xf numFmtId="14" fontId="24" fillId="14" borderId="1" xfId="0" applyNumberFormat="1" applyFont="1" applyFill="1" applyBorder="1" applyAlignment="1">
      <alignment horizontal="center" vertical="center"/>
    </xf>
    <xf numFmtId="14" fontId="24" fillId="14" borderId="0" xfId="0" applyNumberFormat="1" applyFont="1" applyFill="1" applyBorder="1" applyAlignment="1">
      <alignment horizontal="center" vertical="center"/>
    </xf>
    <xf numFmtId="0" fontId="8" fillId="0" borderId="8" xfId="0" applyFont="1" applyBorder="1" applyAlignment="1">
      <alignment horizontal="center"/>
    </xf>
    <xf numFmtId="0" fontId="8" fillId="15" borderId="4" xfId="0" applyFont="1" applyFill="1" applyBorder="1" applyAlignment="1" applyProtection="1">
      <alignment horizontal="center" vertical="center"/>
      <protection locked="0"/>
    </xf>
    <xf numFmtId="0" fontId="8" fillId="15" borderId="12" xfId="0" applyFont="1" applyFill="1" applyBorder="1" applyAlignment="1" applyProtection="1">
      <alignment horizontal="center" vertical="center"/>
      <protection locked="0"/>
    </xf>
    <xf numFmtId="0" fontId="8" fillId="0" borderId="8" xfId="0" applyFont="1" applyBorder="1"/>
    <xf numFmtId="0" fontId="8" fillId="0" borderId="8" xfId="0" applyFont="1" applyBorder="1" applyAlignment="1">
      <alignment horizontal="center" vertical="center"/>
    </xf>
    <xf numFmtId="0" fontId="8" fillId="0" borderId="4" xfId="0" applyFont="1" applyBorder="1" applyAlignment="1">
      <alignment horizontal="center" vertical="center"/>
    </xf>
    <xf numFmtId="0" fontId="4" fillId="0" borderId="5" xfId="0" applyNumberFormat="1" applyFont="1" applyBorder="1" applyAlignment="1">
      <alignment horizontal="center" vertical="center"/>
    </xf>
    <xf numFmtId="0" fontId="4" fillId="0" borderId="11" xfId="0" applyNumberFormat="1"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Border="1" applyAlignment="1">
      <alignment horizontal="center"/>
    </xf>
    <xf numFmtId="0" fontId="8" fillId="0" borderId="2" xfId="0" quotePrefix="1" applyFont="1" applyBorder="1" applyAlignment="1">
      <alignment horizontal="center"/>
    </xf>
    <xf numFmtId="0" fontId="8" fillId="0" borderId="3" xfId="0" applyFont="1" applyBorder="1" applyAlignment="1">
      <alignment horizontal="center"/>
    </xf>
    <xf numFmtId="0" fontId="10" fillId="0" borderId="6" xfId="0" applyFont="1" applyBorder="1"/>
    <xf numFmtId="0" fontId="10" fillId="0" borderId="7" xfId="0" applyFont="1" applyBorder="1"/>
    <xf numFmtId="0" fontId="10" fillId="0" borderId="9" xfId="0" applyFont="1" applyBorder="1"/>
    <xf numFmtId="0" fontId="8" fillId="0" borderId="6" xfId="0" quotePrefix="1" applyFont="1" applyBorder="1" applyAlignment="1">
      <alignment horizontal="center"/>
    </xf>
    <xf numFmtId="0" fontId="8" fillId="0" borderId="1" xfId="0" quotePrefix="1" applyFont="1" applyBorder="1" applyAlignment="1">
      <alignment horizontal="center"/>
    </xf>
    <xf numFmtId="0" fontId="8" fillId="0" borderId="8" xfId="0" applyFont="1" applyBorder="1" applyAlignment="1" applyProtection="1">
      <alignment horizontal="center" vertical="center"/>
      <protection locked="0"/>
    </xf>
    <xf numFmtId="0" fontId="9" fillId="0" borderId="0" xfId="0" applyFont="1" applyAlignment="1">
      <alignment horizontal="right"/>
    </xf>
    <xf numFmtId="0" fontId="22" fillId="0" borderId="8" xfId="0" applyFont="1" applyBorder="1" applyAlignment="1">
      <alignment horizontal="left"/>
    </xf>
    <xf numFmtId="0" fontId="22" fillId="0" borderId="8" xfId="0" applyFont="1" applyBorder="1"/>
    <xf numFmtId="14" fontId="9" fillId="0" borderId="0" xfId="0" applyNumberFormat="1" applyFont="1" applyBorder="1" applyAlignment="1">
      <alignment horizontal="left"/>
    </xf>
    <xf numFmtId="0" fontId="9" fillId="0" borderId="0" xfId="0" applyFont="1" applyBorder="1" applyAlignment="1">
      <alignment horizontal="right"/>
    </xf>
    <xf numFmtId="0" fontId="8" fillId="2" borderId="8" xfId="0" applyFont="1" applyFill="1" applyBorder="1" applyAlignment="1">
      <alignment horizontal="center" vertical="center"/>
    </xf>
    <xf numFmtId="0" fontId="8" fillId="0" borderId="0" xfId="0" applyFont="1" applyFill="1" applyAlignment="1">
      <alignment horizontal="center"/>
    </xf>
    <xf numFmtId="0" fontId="9" fillId="0" borderId="0" xfId="0" applyFont="1" applyFill="1" applyAlignment="1">
      <alignment horizontal="center"/>
    </xf>
    <xf numFmtId="0" fontId="10" fillId="0" borderId="0" xfId="0" applyFont="1" applyFill="1" applyBorder="1" applyAlignment="1">
      <alignment horizontal="center"/>
    </xf>
    <xf numFmtId="0" fontId="10" fillId="0" borderId="8" xfId="0" applyFont="1" applyFill="1" applyBorder="1" applyAlignment="1">
      <alignment horizontal="center"/>
    </xf>
    <xf numFmtId="0" fontId="8" fillId="0" borderId="0" xfId="0" applyFont="1" applyFill="1" applyBorder="1" applyAlignment="1">
      <alignment horizontal="center"/>
    </xf>
    <xf numFmtId="14" fontId="9" fillId="0" borderId="0" xfId="0" applyNumberFormat="1" applyFont="1"/>
    <xf numFmtId="14" fontId="14" fillId="0" borderId="22" xfId="0" applyNumberFormat="1" applyFont="1" applyBorder="1"/>
    <xf numFmtId="14" fontId="2" fillId="0" borderId="11" xfId="2" applyNumberFormat="1" applyFont="1" applyBorder="1"/>
    <xf numFmtId="14" fontId="16" fillId="0" borderId="11" xfId="0" applyNumberFormat="1" applyFont="1" applyBorder="1" applyProtection="1"/>
    <xf numFmtId="4" fontId="10" fillId="0" borderId="19" xfId="0" applyNumberFormat="1" applyFont="1" applyBorder="1" applyAlignment="1">
      <alignment horizontal="center" vertical="center" wrapText="1"/>
    </xf>
    <xf numFmtId="4" fontId="8" fillId="0" borderId="0" xfId="0" applyNumberFormat="1" applyFont="1" applyBorder="1" applyAlignment="1">
      <alignment vertical="center"/>
    </xf>
    <xf numFmtId="0" fontId="25" fillId="0" borderId="0" xfId="0" applyFont="1" applyAlignment="1">
      <alignment vertical="center"/>
    </xf>
    <xf numFmtId="4" fontId="7" fillId="0" borderId="0" xfId="0" applyNumberFormat="1" applyFont="1" applyAlignment="1">
      <alignment vertical="center"/>
    </xf>
    <xf numFmtId="0" fontId="1" fillId="0" borderId="8" xfId="0" applyFont="1" applyBorder="1" applyAlignment="1">
      <alignment horizontal="center" vertical="center"/>
    </xf>
    <xf numFmtId="0" fontId="1" fillId="0" borderId="8" xfId="0" quotePrefix="1" applyFont="1" applyBorder="1" applyAlignment="1">
      <alignment horizontal="center" vertical="center"/>
    </xf>
    <xf numFmtId="0" fontId="7" fillId="0" borderId="8" xfId="0" applyFont="1" applyBorder="1" applyAlignment="1">
      <alignment horizontal="center" vertical="center"/>
    </xf>
    <xf numFmtId="0" fontId="7" fillId="11" borderId="1" xfId="0" applyFont="1" applyFill="1" applyBorder="1" applyAlignment="1">
      <alignment horizontal="center" vertical="center"/>
    </xf>
    <xf numFmtId="0" fontId="7" fillId="10" borderId="1" xfId="0" applyFont="1" applyFill="1" applyBorder="1" applyAlignment="1">
      <alignment horizontal="center" vertical="center"/>
    </xf>
    <xf numFmtId="0" fontId="7" fillId="12" borderId="1" xfId="0" applyFont="1" applyFill="1" applyBorder="1" applyAlignment="1">
      <alignment horizontal="center" vertical="center"/>
    </xf>
    <xf numFmtId="0" fontId="7" fillId="11" borderId="10" xfId="0" applyFont="1" applyFill="1" applyBorder="1" applyAlignment="1">
      <alignment horizontal="center" vertical="center"/>
    </xf>
    <xf numFmtId="0" fontId="7" fillId="10" borderId="10" xfId="0" applyFont="1" applyFill="1" applyBorder="1" applyAlignment="1">
      <alignment horizontal="center" vertical="center"/>
    </xf>
    <xf numFmtId="0" fontId="7" fillId="12" borderId="10" xfId="0" applyFont="1" applyFill="1" applyBorder="1" applyAlignment="1">
      <alignment horizontal="center" vertical="center"/>
    </xf>
    <xf numFmtId="0" fontId="3" fillId="7" borderId="27" xfId="3" applyFill="1" applyBorder="1" applyAlignment="1">
      <alignment horizontal="center" vertical="top" wrapText="1"/>
    </xf>
    <xf numFmtId="0" fontId="3" fillId="7" borderId="28" xfId="3" applyFill="1" applyBorder="1" applyAlignment="1">
      <alignment horizontal="center" vertical="top" wrapText="1"/>
    </xf>
    <xf numFmtId="0" fontId="3" fillId="7" borderId="29" xfId="3" applyFill="1" applyBorder="1" applyAlignment="1">
      <alignment horizontal="center" vertical="top" wrapText="1"/>
    </xf>
    <xf numFmtId="0" fontId="3" fillId="7" borderId="30" xfId="3" applyFill="1" applyBorder="1" applyAlignment="1">
      <alignment horizontal="center" vertical="top" wrapText="1"/>
    </xf>
    <xf numFmtId="0" fontId="3" fillId="7" borderId="0" xfId="3" applyFill="1" applyBorder="1" applyAlignment="1">
      <alignment horizontal="center" vertical="top" wrapText="1"/>
    </xf>
    <xf numFmtId="0" fontId="3" fillId="7" borderId="31" xfId="3" applyFill="1" applyBorder="1" applyAlignment="1">
      <alignment horizontal="center" vertical="top" wrapText="1"/>
    </xf>
    <xf numFmtId="0" fontId="3" fillId="7" borderId="32" xfId="3" applyFill="1" applyBorder="1" applyAlignment="1">
      <alignment horizontal="center" vertical="top" wrapText="1"/>
    </xf>
    <xf numFmtId="0" fontId="3" fillId="7" borderId="33" xfId="3" applyFill="1" applyBorder="1" applyAlignment="1">
      <alignment horizontal="center" vertical="top" wrapText="1"/>
    </xf>
    <xf numFmtId="0" fontId="3" fillId="7" borderId="34" xfId="3" applyFill="1" applyBorder="1" applyAlignment="1">
      <alignment horizontal="center" vertical="top" wrapText="1"/>
    </xf>
    <xf numFmtId="0" fontId="20" fillId="0" borderId="22" xfId="0" applyFont="1" applyBorder="1" applyAlignment="1">
      <alignment horizontal="center" vertical="center"/>
    </xf>
    <xf numFmtId="0" fontId="20" fillId="0" borderId="19" xfId="0" applyFont="1" applyBorder="1" applyAlignment="1">
      <alignment horizontal="center" vertical="center"/>
    </xf>
    <xf numFmtId="0" fontId="20" fillId="0" borderId="20" xfId="0" applyFont="1" applyBorder="1" applyAlignment="1">
      <alignment horizontal="center" vertical="center"/>
    </xf>
    <xf numFmtId="0" fontId="6" fillId="6" borderId="3" xfId="2" applyFont="1" applyFill="1" applyBorder="1" applyAlignment="1">
      <alignment horizontal="center" vertical="center" wrapText="1"/>
    </xf>
    <xf numFmtId="0" fontId="6" fillId="6" borderId="3" xfId="2" applyFont="1" applyFill="1" applyBorder="1" applyAlignment="1">
      <alignment horizontal="center" vertical="center"/>
    </xf>
    <xf numFmtId="0" fontId="6" fillId="6" borderId="2" xfId="2" applyFont="1" applyFill="1" applyBorder="1" applyAlignment="1">
      <alignment horizontal="center" vertical="center"/>
    </xf>
    <xf numFmtId="0" fontId="6" fillId="6" borderId="12" xfId="2" applyFont="1" applyFill="1" applyBorder="1" applyAlignment="1">
      <alignment horizontal="right" vertical="center"/>
    </xf>
    <xf numFmtId="0" fontId="8" fillId="0" borderId="0" xfId="0" applyFont="1" applyBorder="1" applyAlignment="1">
      <alignment horizontal="left"/>
    </xf>
    <xf numFmtId="0" fontId="10" fillId="2" borderId="21" xfId="0" applyFont="1" applyFill="1" applyBorder="1" applyAlignment="1">
      <alignment horizontal="left" vertical="center"/>
    </xf>
    <xf numFmtId="0" fontId="10" fillId="2" borderId="12" xfId="0" applyFont="1" applyFill="1" applyBorder="1" applyAlignment="1">
      <alignment horizontal="left" vertical="center"/>
    </xf>
    <xf numFmtId="0" fontId="10" fillId="2" borderId="4" xfId="0" applyFont="1" applyFill="1" applyBorder="1" applyAlignment="1">
      <alignment horizontal="left" vertical="center"/>
    </xf>
    <xf numFmtId="0" fontId="8" fillId="0" borderId="3" xfId="0" applyFont="1" applyBorder="1" applyAlignment="1">
      <alignment horizontal="left"/>
    </xf>
    <xf numFmtId="0" fontId="0" fillId="0" borderId="0" xfId="0" applyAlignment="1">
      <alignment wrapText="1"/>
    </xf>
    <xf numFmtId="0" fontId="25" fillId="0" borderId="0" xfId="3" applyFont="1"/>
  </cellXfs>
  <cellStyles count="4">
    <cellStyle name="Normal" xfId="0" builtinId="0"/>
    <cellStyle name="Normal 2" xfId="1" xr:uid="{00000000-0005-0000-0000-000001000000}"/>
    <cellStyle name="Normal_P241 cortec" xfId="2" xr:uid="{00000000-0005-0000-0000-000002000000}"/>
    <cellStyle name="Normal_Template"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List" dx="16" fmlaLink="Language!$A$3" fmlaRange="Language!$B$4:$B$6" noThreeD="1" sel="1" val="0"/>
</file>

<file path=xl/ctrlProps/ctrlProp10.xml><?xml version="1.0" encoding="utf-8"?>
<formControlPr xmlns="http://schemas.microsoft.com/office/spreadsheetml/2009/9/main" objectType="List" dx="16" fmlaLink="Database!$D$40" fmlaRange="Database!$E$41:$E$47" noThreeD="1" sel="3" val="0"/>
</file>

<file path=xl/ctrlProps/ctrlProp11.xml><?xml version="1.0" encoding="utf-8"?>
<formControlPr xmlns="http://schemas.microsoft.com/office/spreadsheetml/2009/9/main" objectType="List" dx="16" fmlaLink="Database!$D$48" fmlaRange="Database!$E$49:$E$50" noThreeD="1" sel="1" val="0"/>
</file>

<file path=xl/ctrlProps/ctrlProp2.xml><?xml version="1.0" encoding="utf-8"?>
<formControlPr xmlns="http://schemas.microsoft.com/office/spreadsheetml/2009/9/main" objectType="List" dx="16" fmlaLink="Database!$D$5" fmlaRange="Database!$E$6:$E$7" noThreeD="1" sel="2" val="0"/>
</file>

<file path=xl/ctrlProps/ctrlProp3.xml><?xml version="1.0" encoding="utf-8"?>
<formControlPr xmlns="http://schemas.microsoft.com/office/spreadsheetml/2009/9/main" objectType="List" dx="16" fmlaLink="Database!$D$9" fmlaRange="Database!$E$10:$E$12" noThreeD="1" sel="1" val="0"/>
</file>

<file path=xl/ctrlProps/ctrlProp4.xml><?xml version="1.0" encoding="utf-8"?>
<formControlPr xmlns="http://schemas.microsoft.com/office/spreadsheetml/2009/9/main" objectType="List" dx="16" fmlaLink="Database!$D$14" fmlaRange="Database!$E$15:$E$17" noThreeD="1" sel="3" val="0"/>
</file>

<file path=xl/ctrlProps/ctrlProp5.xml><?xml version="1.0" encoding="utf-8"?>
<formControlPr xmlns="http://schemas.microsoft.com/office/spreadsheetml/2009/9/main" objectType="List" dx="16" fmlaLink="Database!$M$19" fmlaRange="Database!$J$20:$L$22" noThreeD="1" sel="2" val="0"/>
</file>

<file path=xl/ctrlProps/ctrlProp6.xml><?xml version="1.0" encoding="utf-8"?>
<formControlPr xmlns="http://schemas.microsoft.com/office/spreadsheetml/2009/9/main" objectType="List" dx="16" fmlaLink="Database!$D$24" fmlaRange="Database!$E$25" noThreeD="1" sel="1" val="0"/>
</file>

<file path=xl/ctrlProps/ctrlProp7.xml><?xml version="1.0" encoding="utf-8"?>
<formControlPr xmlns="http://schemas.microsoft.com/office/spreadsheetml/2009/9/main" objectType="List" dx="16" fmlaLink="Database!$D$33" fmlaRange="Database!$E$34" noThreeD="1" sel="1" val="0"/>
</file>

<file path=xl/ctrlProps/ctrlProp8.xml><?xml version="1.0" encoding="utf-8"?>
<formControlPr xmlns="http://schemas.microsoft.com/office/spreadsheetml/2009/9/main" objectType="List" dx="16" fmlaLink="Database!$D$28" fmlaRange="Database!$E$29:$E$30" noThreeD="1" sel="1" val="0"/>
</file>

<file path=xl/ctrlProps/ctrlProp9.xml><?xml version="1.0" encoding="utf-8"?>
<formControlPr xmlns="http://schemas.microsoft.com/office/spreadsheetml/2009/9/main" objectType="List" dx="16" fmlaLink="Database!$D$36" fmlaRange="Database!$E$37:$E$38" noThreeD="1" sel="2"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11</xdr:row>
          <xdr:rowOff>47625</xdr:rowOff>
        </xdr:from>
        <xdr:to>
          <xdr:col>3</xdr:col>
          <xdr:colOff>752475</xdr:colOff>
          <xdr:row>15</xdr:row>
          <xdr:rowOff>0</xdr:rowOff>
        </xdr:to>
        <xdr:sp macro="" textlink="">
          <xdr:nvSpPr>
            <xdr:cNvPr id="5121" name="List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6</xdr:col>
          <xdr:colOff>0</xdr:colOff>
          <xdr:row>5</xdr:row>
          <xdr:rowOff>323850</xdr:rowOff>
        </xdr:to>
        <xdr:sp macro="" textlink="">
          <xdr:nvSpPr>
            <xdr:cNvPr id="8194" name="List Box 2" hidden="1">
              <a:extLst>
                <a:ext uri="{63B3BB69-23CF-44E3-9099-C40C66FF867C}">
                  <a14:compatExt spid="_x0000_s8194"/>
                </a:ext>
                <a:ext uri="{FF2B5EF4-FFF2-40B4-BE49-F238E27FC236}">
                  <a16:creationId xmlns:a16="http://schemas.microsoft.com/office/drawing/2014/main" id="{00000000-0008-0000-0200-000002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xdr:row>
          <xdr:rowOff>0</xdr:rowOff>
        </xdr:from>
        <xdr:to>
          <xdr:col>6</xdr:col>
          <xdr:colOff>0</xdr:colOff>
          <xdr:row>8</xdr:row>
          <xdr:rowOff>0</xdr:rowOff>
        </xdr:to>
        <xdr:sp macro="" textlink="">
          <xdr:nvSpPr>
            <xdr:cNvPr id="8197" name="List Box 5" hidden="1">
              <a:extLst>
                <a:ext uri="{63B3BB69-23CF-44E3-9099-C40C66FF867C}">
                  <a14:compatExt spid="_x0000_s8197"/>
                </a:ext>
                <a:ext uri="{FF2B5EF4-FFF2-40B4-BE49-F238E27FC236}">
                  <a16:creationId xmlns:a16="http://schemas.microsoft.com/office/drawing/2014/main" id="{00000000-0008-0000-0200-000005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0</xdr:rowOff>
        </xdr:from>
        <xdr:to>
          <xdr:col>6</xdr:col>
          <xdr:colOff>0</xdr:colOff>
          <xdr:row>10</xdr:row>
          <xdr:rowOff>0</xdr:rowOff>
        </xdr:to>
        <xdr:sp macro="" textlink="">
          <xdr:nvSpPr>
            <xdr:cNvPr id="8199" name="List Box 7" hidden="1">
              <a:extLst>
                <a:ext uri="{63B3BB69-23CF-44E3-9099-C40C66FF867C}">
                  <a14:compatExt spid="_x0000_s8199"/>
                </a:ext>
                <a:ext uri="{FF2B5EF4-FFF2-40B4-BE49-F238E27FC236}">
                  <a16:creationId xmlns:a16="http://schemas.microsoft.com/office/drawing/2014/main" id="{00000000-0008-0000-0200-000007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0</xdr:rowOff>
        </xdr:from>
        <xdr:to>
          <xdr:col>6</xdr:col>
          <xdr:colOff>0</xdr:colOff>
          <xdr:row>12</xdr:row>
          <xdr:rowOff>0</xdr:rowOff>
        </xdr:to>
        <xdr:sp macro="" textlink="">
          <xdr:nvSpPr>
            <xdr:cNvPr id="8205" name="List Box 13" hidden="1">
              <a:extLst>
                <a:ext uri="{63B3BB69-23CF-44E3-9099-C40C66FF867C}">
                  <a14:compatExt spid="_x0000_s8205"/>
                </a:ext>
                <a:ext uri="{FF2B5EF4-FFF2-40B4-BE49-F238E27FC236}">
                  <a16:creationId xmlns:a16="http://schemas.microsoft.com/office/drawing/2014/main" id="{00000000-0008-0000-0200-00000D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0</xdr:rowOff>
        </xdr:from>
        <xdr:to>
          <xdr:col>6</xdr:col>
          <xdr:colOff>0</xdr:colOff>
          <xdr:row>14</xdr:row>
          <xdr:rowOff>0</xdr:rowOff>
        </xdr:to>
        <xdr:sp macro="" textlink="">
          <xdr:nvSpPr>
            <xdr:cNvPr id="8207" name="List Box 15" hidden="1">
              <a:extLst>
                <a:ext uri="{63B3BB69-23CF-44E3-9099-C40C66FF867C}">
                  <a14:compatExt spid="_x0000_s8207"/>
                </a:ext>
                <a:ext uri="{FF2B5EF4-FFF2-40B4-BE49-F238E27FC236}">
                  <a16:creationId xmlns:a16="http://schemas.microsoft.com/office/drawing/2014/main" id="{00000000-0008-0000-0200-00000F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xdr:row>
          <xdr:rowOff>0</xdr:rowOff>
        </xdr:from>
        <xdr:to>
          <xdr:col>6</xdr:col>
          <xdr:colOff>0</xdr:colOff>
          <xdr:row>17</xdr:row>
          <xdr:rowOff>295275</xdr:rowOff>
        </xdr:to>
        <xdr:sp macro="" textlink="">
          <xdr:nvSpPr>
            <xdr:cNvPr id="8234" name="List Box 42" hidden="1">
              <a:extLst>
                <a:ext uri="{63B3BB69-23CF-44E3-9099-C40C66FF867C}">
                  <a14:compatExt spid="_x0000_s8234"/>
                </a:ext>
                <a:ext uri="{FF2B5EF4-FFF2-40B4-BE49-F238E27FC236}">
                  <a16:creationId xmlns:a16="http://schemas.microsoft.com/office/drawing/2014/main" id="{00000000-0008-0000-0200-00002A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xdr:row>
          <xdr:rowOff>0</xdr:rowOff>
        </xdr:from>
        <xdr:to>
          <xdr:col>6</xdr:col>
          <xdr:colOff>0</xdr:colOff>
          <xdr:row>16</xdr:row>
          <xdr:rowOff>0</xdr:rowOff>
        </xdr:to>
        <xdr:sp macro="" textlink="">
          <xdr:nvSpPr>
            <xdr:cNvPr id="8235" name="List Box 43" hidden="1">
              <a:extLst>
                <a:ext uri="{63B3BB69-23CF-44E3-9099-C40C66FF867C}">
                  <a14:compatExt spid="_x0000_s8235"/>
                </a:ext>
                <a:ext uri="{FF2B5EF4-FFF2-40B4-BE49-F238E27FC236}">
                  <a16:creationId xmlns:a16="http://schemas.microsoft.com/office/drawing/2014/main" id="{00000000-0008-0000-0200-00002B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xdr:row>
          <xdr:rowOff>0</xdr:rowOff>
        </xdr:from>
        <xdr:to>
          <xdr:col>6</xdr:col>
          <xdr:colOff>0</xdr:colOff>
          <xdr:row>19</xdr:row>
          <xdr:rowOff>295275</xdr:rowOff>
        </xdr:to>
        <xdr:sp macro="" textlink="">
          <xdr:nvSpPr>
            <xdr:cNvPr id="8237" name="List Box 45" hidden="1">
              <a:extLst>
                <a:ext uri="{63B3BB69-23CF-44E3-9099-C40C66FF867C}">
                  <a14:compatExt spid="_x0000_s8237"/>
                </a:ext>
                <a:ext uri="{FF2B5EF4-FFF2-40B4-BE49-F238E27FC236}">
                  <a16:creationId xmlns:a16="http://schemas.microsoft.com/office/drawing/2014/main" id="{00000000-0008-0000-0200-00002D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xdr:row>
          <xdr:rowOff>0</xdr:rowOff>
        </xdr:from>
        <xdr:to>
          <xdr:col>6</xdr:col>
          <xdr:colOff>0</xdr:colOff>
          <xdr:row>22</xdr:row>
          <xdr:rowOff>9525</xdr:rowOff>
        </xdr:to>
        <xdr:sp macro="" textlink="">
          <xdr:nvSpPr>
            <xdr:cNvPr id="8239" name="List Box 47" hidden="1">
              <a:extLst>
                <a:ext uri="{63B3BB69-23CF-44E3-9099-C40C66FF867C}">
                  <a14:compatExt spid="_x0000_s8239"/>
                </a:ext>
                <a:ext uri="{FF2B5EF4-FFF2-40B4-BE49-F238E27FC236}">
                  <a16:creationId xmlns:a16="http://schemas.microsoft.com/office/drawing/2014/main" id="{00000000-0008-0000-0200-00002F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xdr:row>
          <xdr:rowOff>0</xdr:rowOff>
        </xdr:from>
        <xdr:to>
          <xdr:col>6</xdr:col>
          <xdr:colOff>0</xdr:colOff>
          <xdr:row>24</xdr:row>
          <xdr:rowOff>0</xdr:rowOff>
        </xdr:to>
        <xdr:sp macro="" textlink="">
          <xdr:nvSpPr>
            <xdr:cNvPr id="8241" name="List Box 49" hidden="1">
              <a:extLst>
                <a:ext uri="{63B3BB69-23CF-44E3-9099-C40C66FF867C}">
                  <a14:compatExt spid="_x0000_s8241"/>
                </a:ext>
                <a:ext uri="{FF2B5EF4-FFF2-40B4-BE49-F238E27FC236}">
                  <a16:creationId xmlns:a16="http://schemas.microsoft.com/office/drawing/2014/main" id="{00000000-0008-0000-0200-000031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5.xml"/><Relationship Id="rId12"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0" Type="http://schemas.openxmlformats.org/officeDocument/2006/relationships/ctrlProp" Target="../ctrlProps/ctrlProp8.xml"/><Relationship Id="rId4" Type="http://schemas.openxmlformats.org/officeDocument/2006/relationships/ctrlProp" Target="../ctrlProps/ctrlProp2.xml"/><Relationship Id="rId9" Type="http://schemas.openxmlformats.org/officeDocument/2006/relationships/ctrlProp" Target="../ctrlProps/ctrlProp7.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11">
    <pageSetUpPr fitToPage="1"/>
  </sheetPr>
  <dimension ref="B1:J15"/>
  <sheetViews>
    <sheetView showGridLines="0" showRowColHeaders="0" topLeftCell="A2" workbookViewId="0">
      <selection activeCell="G25" sqref="G25"/>
    </sheetView>
  </sheetViews>
  <sheetFormatPr defaultColWidth="10.28515625" defaultRowHeight="14.25" x14ac:dyDescent="0.2"/>
  <cols>
    <col min="1" max="1" width="4.140625" style="1" customWidth="1"/>
    <col min="2" max="9" width="11.42578125" style="1" customWidth="1"/>
    <col min="10" max="10" width="45.5703125" style="1" customWidth="1"/>
    <col min="11" max="16384" width="10.28515625" style="1"/>
  </cols>
  <sheetData>
    <row r="1" spans="2:10" ht="20.25" x14ac:dyDescent="0.3">
      <c r="B1" s="277" t="str">
        <f>HLOOKUP(Language!$C$3,Language!$E$1:$Z567,76,FALSE)</f>
        <v>THIS CORTEC FILE HAS BEEN REPLACED BY THE RT434 GNSS CORTEC FILE</v>
      </c>
    </row>
    <row r="2" spans="2:10" ht="15" thickBot="1" x14ac:dyDescent="0.25"/>
    <row r="3" spans="2:10" ht="15" customHeight="1" thickTop="1" x14ac:dyDescent="0.2">
      <c r="B3" s="255" t="str">
        <f>HLOOKUP(Language!$C$3,Language!$E$1:$Z567,41,FALSE)</f>
        <v xml:space="preserve">Our policy is one of continuous development. Accordingly the design of our products may change at any time. </v>
      </c>
      <c r="C3" s="256"/>
      <c r="D3" s="256"/>
      <c r="E3" s="256"/>
      <c r="F3" s="256"/>
      <c r="G3" s="256"/>
      <c r="H3" s="256"/>
      <c r="I3" s="256"/>
      <c r="J3" s="257"/>
    </row>
    <row r="4" spans="2:10" ht="14.25" customHeight="1" x14ac:dyDescent="0.2">
      <c r="B4" s="258" t="str">
        <f>HLOOKUP(Language!$C$3,Language!$E$1:$Z567,42,FALSE)</f>
        <v>Whilst every effort is made to produce up to date literature, this document should only be regarded as a guide and is intended for information purposes only.</v>
      </c>
      <c r="C4" s="259"/>
      <c r="D4" s="259"/>
      <c r="E4" s="259"/>
      <c r="F4" s="259"/>
      <c r="G4" s="259"/>
      <c r="H4" s="259"/>
      <c r="I4" s="259"/>
      <c r="J4" s="260"/>
    </row>
    <row r="5" spans="2:10" x14ac:dyDescent="0.2">
      <c r="B5" s="258"/>
      <c r="C5" s="259"/>
      <c r="D5" s="259"/>
      <c r="E5" s="259"/>
      <c r="F5" s="259"/>
      <c r="G5" s="259"/>
      <c r="H5" s="259"/>
      <c r="I5" s="259"/>
      <c r="J5" s="260"/>
    </row>
    <row r="6" spans="2:10" ht="14.25" customHeight="1" x14ac:dyDescent="0.2">
      <c r="B6" s="258" t="str">
        <f>HLOOKUP(Language!$C$3,Language!$E$1:$Z567,43,FALSE)</f>
        <v>Its contents do not constitute an offer for sale or advice on the application of any product referred to in it. We cannot be held responsible for any reliance on any decisions taken on its contents without specific advice.</v>
      </c>
      <c r="C6" s="259"/>
      <c r="D6" s="259"/>
      <c r="E6" s="259"/>
      <c r="F6" s="259"/>
      <c r="G6" s="259"/>
      <c r="H6" s="259"/>
      <c r="I6" s="259"/>
      <c r="J6" s="260"/>
    </row>
    <row r="7" spans="2:10" x14ac:dyDescent="0.2">
      <c r="B7" s="258"/>
      <c r="C7" s="259"/>
      <c r="D7" s="259"/>
      <c r="E7" s="259"/>
      <c r="F7" s="259"/>
      <c r="G7" s="259"/>
      <c r="H7" s="259"/>
      <c r="I7" s="259"/>
      <c r="J7" s="260"/>
    </row>
    <row r="8" spans="2:10" ht="3.75" customHeight="1" thickBot="1" x14ac:dyDescent="0.25">
      <c r="B8" s="261"/>
      <c r="C8" s="262"/>
      <c r="D8" s="262"/>
      <c r="E8" s="262"/>
      <c r="F8" s="262"/>
      <c r="G8" s="262"/>
      <c r="H8" s="262"/>
      <c r="I8" s="262"/>
      <c r="J8" s="263"/>
    </row>
    <row r="9" spans="2:10" ht="15" thickTop="1" x14ac:dyDescent="0.2"/>
    <row r="10" spans="2:10" ht="15" thickBot="1" x14ac:dyDescent="0.25"/>
    <row r="11" spans="2:10" ht="15.75" x14ac:dyDescent="0.2">
      <c r="B11" s="264" t="str">
        <f>HLOOKUP(Language!$C$3,Language!$E$1:$Z567,40,FALSE)</f>
        <v>Language Selection</v>
      </c>
      <c r="C11" s="265"/>
      <c r="D11" s="266"/>
    </row>
    <row r="12" spans="2:10" x14ac:dyDescent="0.2">
      <c r="B12" s="150"/>
      <c r="C12" s="151"/>
      <c r="D12" s="152"/>
    </row>
    <row r="13" spans="2:10" x14ac:dyDescent="0.2">
      <c r="B13" s="150"/>
      <c r="C13" s="151"/>
      <c r="D13" s="152"/>
    </row>
    <row r="14" spans="2:10" x14ac:dyDescent="0.2">
      <c r="B14" s="150"/>
      <c r="C14" s="151"/>
      <c r="D14" s="152"/>
    </row>
    <row r="15" spans="2:10" ht="15" thickBot="1" x14ac:dyDescent="0.25">
      <c r="B15" s="153"/>
      <c r="C15" s="154"/>
      <c r="D15" s="155"/>
    </row>
  </sheetData>
  <sheetProtection algorithmName="SHA-512" hashValue="Rh7zWgc0FFvkn7F5GtiXnu5d5Kw63Nq6GSMkot7CRbMtkrPX3SJtl9VEJJNKK0Wz2AloGVfWwMavVDymA3LI/Q==" saltValue="E4ZszTIAn72fxHWgM7vZlg==" spinCount="100000" sheet="1" objects="1" scenarios="1"/>
  <mergeCells count="4">
    <mergeCell ref="B3:J3"/>
    <mergeCell ref="B4:J5"/>
    <mergeCell ref="B6:J8"/>
    <mergeCell ref="B11:D11"/>
  </mergeCells>
  <phoneticPr fontId="19" type="noConversion"/>
  <pageMargins left="0.75" right="0.75" top="1" bottom="1" header="0.5" footer="0.5"/>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List Box 1">
              <controlPr defaultSize="0" autoLine="0" autoPict="0">
                <anchor moveWithCells="1">
                  <from>
                    <xdr:col>1</xdr:col>
                    <xdr:colOff>0</xdr:colOff>
                    <xdr:row>11</xdr:row>
                    <xdr:rowOff>47625</xdr:rowOff>
                  </from>
                  <to>
                    <xdr:col>3</xdr:col>
                    <xdr:colOff>752475</xdr:colOff>
                    <xdr:row>15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V58"/>
  <sheetViews>
    <sheetView showGridLines="0" workbookViewId="0">
      <selection activeCell="D20" sqref="D20"/>
    </sheetView>
  </sheetViews>
  <sheetFormatPr defaultRowHeight="12.75" x14ac:dyDescent="0.2"/>
  <cols>
    <col min="1" max="1" width="5.28515625" style="50" customWidth="1"/>
    <col min="2" max="2" width="8.5703125" style="50" customWidth="1"/>
    <col min="3" max="3" width="19" style="50" customWidth="1"/>
    <col min="4" max="4" width="46" style="50" customWidth="1"/>
    <col min="5" max="5" width="12.7109375" style="78" customWidth="1"/>
    <col min="6" max="10" width="2.7109375" style="78" customWidth="1"/>
    <col min="11" max="11" width="4.7109375" style="78" customWidth="1"/>
    <col min="12" max="12" width="2.7109375" style="78" customWidth="1"/>
    <col min="13" max="13" width="1.7109375" style="78" customWidth="1"/>
    <col min="14" max="16" width="2.7109375" style="78" customWidth="1"/>
    <col min="17" max="16384" width="9.140625" style="50"/>
  </cols>
  <sheetData>
    <row r="1" spans="1:256" ht="20.25" x14ac:dyDescent="0.3">
      <c r="A1" s="277" t="str">
        <f>HLOOKUP(Language!$C$3,Language!$E$1:$Z567,76,FALSE)</f>
        <v>THIS CORTEC FILE HAS BEEN REPLACED BY THE RT434 GNSS CORTEC FILE</v>
      </c>
    </row>
    <row r="2" spans="1:256" x14ac:dyDescent="0.2">
      <c r="A2" s="43" t="str">
        <f>HLOOKUP(Language!$C$3,Language!$E$1:$Z572,44,FALSE)</f>
        <v>Information required with Order:</v>
      </c>
      <c r="B2" s="43"/>
      <c r="C2" s="43"/>
      <c r="D2" s="43"/>
      <c r="E2" s="49"/>
      <c r="F2" s="49"/>
      <c r="G2" s="49"/>
      <c r="H2" s="49"/>
      <c r="I2" s="49"/>
      <c r="J2" s="49"/>
      <c r="K2" s="49"/>
      <c r="L2" s="49"/>
      <c r="M2" s="49"/>
      <c r="N2" s="49"/>
      <c r="O2" s="49"/>
      <c r="P2" s="49"/>
    </row>
    <row r="3" spans="1:256" x14ac:dyDescent="0.2">
      <c r="A3" s="43"/>
      <c r="B3" s="43"/>
      <c r="C3" s="43"/>
      <c r="D3" s="43"/>
      <c r="E3" s="49"/>
      <c r="F3" s="49"/>
      <c r="G3" s="49"/>
      <c r="H3" s="49"/>
      <c r="I3" s="49"/>
      <c r="J3" s="49"/>
      <c r="K3" s="49"/>
      <c r="L3" s="49"/>
      <c r="M3" s="49"/>
      <c r="N3" s="49"/>
      <c r="O3" s="49"/>
      <c r="P3" s="49"/>
      <c r="Q3" s="43"/>
    </row>
    <row r="4" spans="1:256" x14ac:dyDescent="0.2">
      <c r="A4" s="105" t="str">
        <f>HLOOKUP(Language!$C$3,Language!$E$1:$Z572,45,FALSE)</f>
        <v>Variants</v>
      </c>
      <c r="B4" s="156"/>
      <c r="C4" s="270" t="str">
        <f>HLOOKUP(Language!$C$3,Language!$E$1:$Z572,46,FALSE)</f>
        <v>IED Order Number</v>
      </c>
      <c r="D4" s="270"/>
      <c r="E4" s="270"/>
      <c r="F4" s="270"/>
      <c r="G4" s="270"/>
      <c r="H4" s="270"/>
      <c r="I4" s="270"/>
      <c r="J4" s="270"/>
      <c r="K4" s="156"/>
      <c r="L4" s="157"/>
      <c r="M4" s="106"/>
      <c r="N4" s="267" t="str">
        <f>HLOOKUP(Language!$C$3,Language!$E$1:$Z501,48,FALSE)</f>
        <v>Optional</v>
      </c>
      <c r="O4" s="268"/>
      <c r="P4" s="269"/>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7"/>
      <c r="BL4" s="107"/>
      <c r="BM4" s="107"/>
      <c r="BN4" s="107"/>
      <c r="BO4" s="107"/>
      <c r="BP4" s="107"/>
      <c r="BQ4" s="107"/>
      <c r="BR4" s="107"/>
      <c r="BS4" s="107"/>
      <c r="BT4" s="107"/>
      <c r="BU4" s="107"/>
      <c r="BV4" s="107"/>
      <c r="BW4" s="107"/>
      <c r="BX4" s="107"/>
      <c r="BY4" s="107"/>
      <c r="BZ4" s="107"/>
      <c r="CA4" s="107"/>
      <c r="CB4" s="107"/>
      <c r="CC4" s="107"/>
      <c r="CD4" s="107"/>
      <c r="CE4" s="107"/>
      <c r="CF4" s="107"/>
      <c r="CG4" s="107"/>
      <c r="CH4" s="107"/>
      <c r="CI4" s="107"/>
      <c r="CJ4" s="107"/>
      <c r="CK4" s="107"/>
      <c r="CL4" s="107"/>
      <c r="CM4" s="107"/>
      <c r="CN4" s="107"/>
      <c r="CO4" s="107"/>
      <c r="CP4" s="107"/>
      <c r="CQ4" s="107"/>
      <c r="CR4" s="107"/>
      <c r="CS4" s="107"/>
      <c r="CT4" s="107"/>
      <c r="CU4" s="107"/>
      <c r="CV4" s="107"/>
      <c r="CW4" s="107"/>
      <c r="CX4" s="107"/>
      <c r="CY4" s="107"/>
      <c r="CZ4" s="107"/>
      <c r="DA4" s="107"/>
      <c r="DB4" s="107"/>
      <c r="DC4" s="107"/>
      <c r="DD4" s="107"/>
      <c r="DE4" s="107"/>
      <c r="DF4" s="107"/>
      <c r="DG4" s="107"/>
      <c r="DH4" s="107"/>
      <c r="DI4" s="107"/>
      <c r="DJ4" s="107"/>
      <c r="DK4" s="107"/>
      <c r="DL4" s="107"/>
      <c r="DM4" s="107"/>
      <c r="DN4" s="107"/>
      <c r="DO4" s="107"/>
      <c r="DP4" s="107"/>
      <c r="DQ4" s="107"/>
      <c r="DR4" s="107"/>
      <c r="DS4" s="107"/>
      <c r="DT4" s="107"/>
      <c r="DU4" s="107"/>
      <c r="DV4" s="107"/>
      <c r="DW4" s="107"/>
      <c r="DX4" s="107"/>
      <c r="DY4" s="107"/>
      <c r="DZ4" s="107"/>
      <c r="EA4" s="107"/>
      <c r="EB4" s="107"/>
      <c r="EC4" s="107"/>
      <c r="ED4" s="107"/>
      <c r="EE4" s="107"/>
      <c r="EF4" s="107"/>
      <c r="EG4" s="107"/>
      <c r="EH4" s="107"/>
      <c r="EI4" s="107"/>
      <c r="EJ4" s="107"/>
      <c r="EK4" s="107"/>
      <c r="EL4" s="107"/>
      <c r="EM4" s="107"/>
      <c r="EN4" s="107"/>
      <c r="EO4" s="107"/>
      <c r="EP4" s="107"/>
      <c r="EQ4" s="107"/>
      <c r="ER4" s="107"/>
      <c r="ES4" s="107"/>
      <c r="ET4" s="107"/>
      <c r="EU4" s="107"/>
      <c r="EV4" s="107"/>
      <c r="EW4" s="107"/>
      <c r="EX4" s="107"/>
      <c r="EY4" s="107"/>
      <c r="EZ4" s="107"/>
      <c r="FA4" s="107"/>
      <c r="FB4" s="107"/>
      <c r="FC4" s="107"/>
      <c r="FD4" s="107"/>
      <c r="FE4" s="107"/>
      <c r="FF4" s="107"/>
      <c r="FG4" s="107"/>
      <c r="FH4" s="107"/>
      <c r="FI4" s="107"/>
      <c r="FJ4" s="107"/>
      <c r="FK4" s="107"/>
      <c r="FL4" s="107"/>
      <c r="FM4" s="107"/>
      <c r="FN4" s="107"/>
      <c r="FO4" s="107"/>
      <c r="FP4" s="107"/>
      <c r="FQ4" s="107"/>
      <c r="FR4" s="107"/>
      <c r="FS4" s="107"/>
      <c r="FT4" s="107"/>
      <c r="FU4" s="107"/>
      <c r="FV4" s="107"/>
      <c r="FW4" s="107"/>
      <c r="FX4" s="107"/>
      <c r="FY4" s="107"/>
      <c r="FZ4" s="107"/>
      <c r="GA4" s="107"/>
      <c r="GB4" s="107"/>
      <c r="GC4" s="107"/>
      <c r="GD4" s="107"/>
      <c r="GE4" s="107"/>
      <c r="GF4" s="107"/>
      <c r="GG4" s="107"/>
      <c r="GH4" s="107"/>
      <c r="GI4" s="107"/>
      <c r="GJ4" s="107"/>
      <c r="GK4" s="107"/>
      <c r="GL4" s="107"/>
      <c r="GM4" s="107"/>
      <c r="GN4" s="107"/>
      <c r="GO4" s="107"/>
      <c r="GP4" s="107"/>
      <c r="GQ4" s="107"/>
      <c r="GR4" s="107"/>
      <c r="GS4" s="107"/>
      <c r="GT4" s="107"/>
      <c r="GU4" s="107"/>
      <c r="GV4" s="107"/>
      <c r="GW4" s="107"/>
      <c r="GX4" s="107"/>
      <c r="GY4" s="107"/>
      <c r="GZ4" s="107"/>
      <c r="HA4" s="107"/>
      <c r="HB4" s="107"/>
      <c r="HC4" s="107"/>
      <c r="HD4" s="107"/>
      <c r="HE4" s="107"/>
      <c r="HF4" s="107"/>
      <c r="HG4" s="107"/>
      <c r="HH4" s="107"/>
      <c r="HI4" s="107"/>
      <c r="HJ4" s="107"/>
      <c r="HK4" s="107"/>
      <c r="HL4" s="107"/>
      <c r="HM4" s="107"/>
      <c r="HN4" s="107"/>
      <c r="HO4" s="107"/>
      <c r="HP4" s="107"/>
      <c r="HQ4" s="107"/>
      <c r="HR4" s="107"/>
      <c r="HS4" s="107"/>
      <c r="HT4" s="107"/>
      <c r="HU4" s="107"/>
      <c r="HV4" s="107"/>
      <c r="HW4" s="107"/>
      <c r="HX4" s="107"/>
      <c r="HY4" s="107"/>
      <c r="HZ4" s="107"/>
      <c r="IA4" s="107"/>
      <c r="IB4" s="107"/>
      <c r="IC4" s="107"/>
      <c r="ID4" s="107"/>
      <c r="IE4" s="107"/>
      <c r="IF4" s="107"/>
      <c r="IG4" s="107"/>
      <c r="IH4" s="107"/>
      <c r="II4" s="107"/>
      <c r="IJ4" s="107"/>
      <c r="IK4" s="107"/>
      <c r="IL4" s="107"/>
      <c r="IM4" s="107"/>
      <c r="IN4" s="107"/>
      <c r="IO4" s="107"/>
      <c r="IP4" s="107"/>
      <c r="IQ4" s="107"/>
      <c r="IR4" s="107"/>
      <c r="IS4" s="107"/>
      <c r="IT4" s="107"/>
      <c r="IU4" s="107"/>
      <c r="IV4" s="107"/>
    </row>
    <row r="5" spans="1:256" x14ac:dyDescent="0.2">
      <c r="A5" s="51"/>
      <c r="B5" s="52"/>
      <c r="C5" s="52"/>
      <c r="D5" s="53"/>
      <c r="E5" s="54" t="s">
        <v>7</v>
      </c>
      <c r="F5" s="55">
        <v>6</v>
      </c>
      <c r="G5" s="56">
        <v>7</v>
      </c>
      <c r="H5" s="54">
        <v>8</v>
      </c>
      <c r="I5" s="54">
        <v>9</v>
      </c>
      <c r="J5" s="54">
        <v>10</v>
      </c>
      <c r="K5" s="54" t="s">
        <v>16</v>
      </c>
      <c r="L5" s="198">
        <v>13</v>
      </c>
      <c r="M5" s="108"/>
      <c r="N5" s="198">
        <v>14</v>
      </c>
      <c r="O5" s="198">
        <v>15</v>
      </c>
      <c r="P5" s="198">
        <v>16</v>
      </c>
    </row>
    <row r="6" spans="1:256" x14ac:dyDescent="0.2">
      <c r="A6" s="57" t="str">
        <f>'Date Drivers'!B4</f>
        <v>Model Type</v>
      </c>
      <c r="B6" s="158"/>
      <c r="C6" s="43"/>
      <c r="D6" s="43"/>
      <c r="E6" s="58"/>
      <c r="F6" s="59"/>
      <c r="G6" s="60"/>
      <c r="H6" s="58"/>
      <c r="I6" s="61"/>
      <c r="J6" s="62"/>
      <c r="K6" s="63"/>
      <c r="L6" s="61"/>
      <c r="M6" s="109"/>
      <c r="N6" s="63"/>
      <c r="O6" s="61"/>
      <c r="P6" s="110"/>
      <c r="Q6" s="43"/>
    </row>
    <row r="7" spans="1:256" x14ac:dyDescent="0.2">
      <c r="A7" s="240" t="str">
        <f ca="1">Database!E2</f>
        <v>RT434 GPS Precision-Time Clock</v>
      </c>
      <c r="B7" s="65"/>
      <c r="C7" s="65"/>
      <c r="D7" s="65"/>
      <c r="E7" s="66" t="s">
        <v>198</v>
      </c>
      <c r="F7" s="59"/>
      <c r="G7" s="60"/>
      <c r="H7" s="58"/>
      <c r="I7" s="61"/>
      <c r="J7" s="62"/>
      <c r="K7" s="63"/>
      <c r="L7" s="61"/>
      <c r="M7" s="109"/>
      <c r="N7" s="63"/>
      <c r="O7" s="61"/>
      <c r="P7" s="110"/>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7"/>
      <c r="IT7" s="67"/>
      <c r="IU7" s="67"/>
      <c r="IV7" s="67"/>
    </row>
    <row r="8" spans="1:256" x14ac:dyDescent="0.2">
      <c r="A8" s="68"/>
      <c r="B8" s="69"/>
      <c r="C8" s="69"/>
      <c r="D8" s="69"/>
      <c r="E8" s="70"/>
      <c r="F8" s="59"/>
      <c r="G8" s="60"/>
      <c r="H8" s="58"/>
      <c r="I8" s="61"/>
      <c r="J8" s="62"/>
      <c r="K8" s="63"/>
      <c r="L8" s="61"/>
      <c r="M8" s="109"/>
      <c r="N8" s="63"/>
      <c r="O8" s="61"/>
      <c r="P8" s="110"/>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c r="EO8" s="67"/>
      <c r="EP8" s="67"/>
      <c r="EQ8" s="67"/>
      <c r="ER8" s="67"/>
      <c r="ES8" s="67"/>
      <c r="ET8" s="67"/>
      <c r="EU8" s="67"/>
      <c r="EV8" s="67"/>
      <c r="EW8" s="67"/>
      <c r="EX8" s="67"/>
      <c r="EY8" s="67"/>
      <c r="EZ8" s="67"/>
      <c r="FA8" s="67"/>
      <c r="FB8" s="67"/>
      <c r="FC8" s="67"/>
      <c r="FD8" s="67"/>
      <c r="FE8" s="67"/>
      <c r="FF8" s="67"/>
      <c r="FG8" s="67"/>
      <c r="FH8" s="67"/>
      <c r="FI8" s="67"/>
      <c r="FJ8" s="67"/>
      <c r="FK8" s="67"/>
      <c r="FL8" s="67"/>
      <c r="FM8" s="67"/>
      <c r="FN8" s="67"/>
      <c r="FO8" s="67"/>
      <c r="FP8" s="67"/>
      <c r="FQ8" s="67"/>
      <c r="FR8" s="67"/>
      <c r="FS8" s="67"/>
      <c r="FT8" s="67"/>
      <c r="FU8" s="67"/>
      <c r="FV8" s="67"/>
      <c r="FW8" s="67"/>
      <c r="FX8" s="67"/>
      <c r="FY8" s="67"/>
      <c r="FZ8" s="67"/>
      <c r="GA8" s="67"/>
      <c r="GB8" s="67"/>
      <c r="GC8" s="67"/>
      <c r="GD8" s="67"/>
      <c r="GE8" s="67"/>
      <c r="GF8" s="67"/>
      <c r="GG8" s="67"/>
      <c r="GH8" s="67"/>
      <c r="GI8" s="67"/>
      <c r="GJ8" s="67"/>
      <c r="GK8" s="67"/>
      <c r="GL8" s="67"/>
      <c r="GM8" s="67"/>
      <c r="GN8" s="67"/>
      <c r="GO8" s="67"/>
      <c r="GP8" s="67"/>
      <c r="GQ8" s="67"/>
      <c r="GR8" s="67"/>
      <c r="GS8" s="67"/>
      <c r="GT8" s="67"/>
      <c r="GU8" s="67"/>
      <c r="GV8" s="67"/>
      <c r="GW8" s="67"/>
      <c r="GX8" s="67"/>
      <c r="GY8" s="67"/>
      <c r="GZ8" s="67"/>
      <c r="HA8" s="67"/>
      <c r="HB8" s="67"/>
      <c r="HC8" s="67"/>
      <c r="HD8" s="67"/>
      <c r="HE8" s="67"/>
      <c r="HF8" s="67"/>
      <c r="HG8" s="67"/>
      <c r="HH8" s="67"/>
      <c r="HI8" s="67"/>
      <c r="HJ8" s="67"/>
      <c r="HK8" s="67"/>
      <c r="HL8" s="67"/>
      <c r="HM8" s="67"/>
      <c r="HN8" s="67"/>
      <c r="HO8" s="67"/>
      <c r="HP8" s="67"/>
      <c r="HQ8" s="67"/>
      <c r="HR8" s="67"/>
      <c r="HS8" s="67"/>
      <c r="HT8" s="67"/>
      <c r="HU8" s="67"/>
      <c r="HV8" s="67"/>
      <c r="HW8" s="67"/>
      <c r="HX8" s="67"/>
      <c r="HY8" s="67"/>
      <c r="HZ8" s="67"/>
      <c r="IA8" s="67"/>
      <c r="IB8" s="67"/>
      <c r="IC8" s="67"/>
      <c r="ID8" s="67"/>
      <c r="IE8" s="67"/>
      <c r="IF8" s="67"/>
      <c r="IG8" s="67"/>
      <c r="IH8" s="67"/>
      <c r="II8" s="67"/>
      <c r="IJ8" s="67"/>
      <c r="IK8" s="67"/>
      <c r="IL8" s="67"/>
      <c r="IM8" s="67"/>
      <c r="IN8" s="67"/>
      <c r="IO8" s="67"/>
      <c r="IP8" s="67"/>
      <c r="IQ8" s="67"/>
      <c r="IR8" s="67"/>
      <c r="IS8" s="67"/>
      <c r="IT8" s="67"/>
      <c r="IU8" s="67"/>
      <c r="IV8" s="67"/>
    </row>
    <row r="9" spans="1:256" x14ac:dyDescent="0.2">
      <c r="A9" s="57" t="str">
        <f>'Date Drivers'!B6</f>
        <v>Power Supply 1</v>
      </c>
      <c r="B9" s="158"/>
      <c r="C9" s="65"/>
      <c r="D9" s="65"/>
      <c r="E9" s="71"/>
      <c r="F9" s="59"/>
      <c r="G9" s="60"/>
      <c r="H9" s="58"/>
      <c r="I9" s="61"/>
      <c r="J9" s="62"/>
      <c r="K9" s="63"/>
      <c r="L9" s="61"/>
      <c r="M9" s="109"/>
      <c r="N9" s="63"/>
      <c r="O9" s="61"/>
      <c r="P9" s="110"/>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7"/>
      <c r="IT9" s="67"/>
      <c r="IU9" s="67"/>
      <c r="IV9" s="67"/>
    </row>
    <row r="10" spans="1:256" x14ac:dyDescent="0.2">
      <c r="A10" s="64" t="str">
        <f ca="1">Database!E6</f>
        <v>24-48 Vdc</v>
      </c>
      <c r="B10" s="65"/>
      <c r="C10" s="65"/>
      <c r="D10" s="65"/>
      <c r="E10" s="71"/>
      <c r="F10" s="72">
        <f ca="1">Database!F6</f>
        <v>1</v>
      </c>
      <c r="G10" s="60"/>
      <c r="H10" s="58"/>
      <c r="I10" s="61"/>
      <c r="J10" s="62"/>
      <c r="K10" s="63"/>
      <c r="L10" s="61"/>
      <c r="M10" s="109"/>
      <c r="N10" s="63"/>
      <c r="O10" s="61"/>
      <c r="P10" s="110"/>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c r="CQ10" s="67"/>
      <c r="CR10" s="67"/>
      <c r="CS10" s="67"/>
      <c r="CT10" s="67"/>
      <c r="CU10" s="67"/>
      <c r="CV10" s="67"/>
      <c r="CW10" s="67"/>
      <c r="CX10" s="67"/>
      <c r="CY10" s="67"/>
      <c r="CZ10" s="67"/>
      <c r="DA10" s="67"/>
      <c r="DB10" s="67"/>
      <c r="DC10" s="67"/>
      <c r="DD10" s="67"/>
      <c r="DE10" s="67"/>
      <c r="DF10" s="67"/>
      <c r="DG10" s="67"/>
      <c r="DH10" s="67"/>
      <c r="DI10" s="67"/>
      <c r="DJ10" s="67"/>
      <c r="DK10" s="67"/>
      <c r="DL10" s="67"/>
      <c r="DM10" s="67"/>
      <c r="DN10" s="67"/>
      <c r="DO10" s="67"/>
      <c r="DP10" s="67"/>
      <c r="DQ10" s="67"/>
      <c r="DR10" s="67"/>
      <c r="DS10" s="67"/>
      <c r="DT10" s="67"/>
      <c r="DU10" s="67"/>
      <c r="DV10" s="67"/>
      <c r="DW10" s="67"/>
      <c r="DX10" s="67"/>
      <c r="DY10" s="67"/>
      <c r="DZ10" s="67"/>
      <c r="EA10" s="67"/>
      <c r="EB10" s="67"/>
      <c r="EC10" s="67"/>
      <c r="ED10" s="67"/>
      <c r="EE10" s="67"/>
      <c r="EF10" s="67"/>
      <c r="EG10" s="67"/>
      <c r="EH10" s="67"/>
      <c r="EI10" s="67"/>
      <c r="EJ10" s="67"/>
      <c r="EK10" s="67"/>
      <c r="EL10" s="67"/>
      <c r="EM10" s="67"/>
      <c r="EN10" s="67"/>
      <c r="EO10" s="67"/>
      <c r="EP10" s="67"/>
      <c r="EQ10" s="67"/>
      <c r="ER10" s="67"/>
      <c r="ES10" s="67"/>
      <c r="ET10" s="67"/>
      <c r="EU10" s="67"/>
      <c r="EV10" s="67"/>
      <c r="EW10" s="67"/>
      <c r="EX10" s="67"/>
      <c r="EY10" s="67"/>
      <c r="EZ10" s="67"/>
      <c r="FA10" s="67"/>
      <c r="FB10" s="67"/>
      <c r="FC10" s="67"/>
      <c r="FD10" s="67"/>
      <c r="FE10" s="67"/>
      <c r="FF10" s="67"/>
      <c r="FG10" s="67"/>
      <c r="FH10" s="67"/>
      <c r="FI10" s="67"/>
      <c r="FJ10" s="67"/>
      <c r="FK10" s="67"/>
      <c r="FL10" s="67"/>
      <c r="FM10" s="67"/>
      <c r="FN10" s="67"/>
      <c r="FO10" s="67"/>
      <c r="FP10" s="67"/>
      <c r="FQ10" s="67"/>
      <c r="FR10" s="67"/>
      <c r="FS10" s="67"/>
      <c r="FT10" s="67"/>
      <c r="FU10" s="67"/>
      <c r="FV10" s="67"/>
      <c r="FW10" s="67"/>
      <c r="FX10" s="67"/>
      <c r="FY10" s="67"/>
      <c r="FZ10" s="67"/>
      <c r="GA10" s="67"/>
      <c r="GB10" s="67"/>
      <c r="GC10" s="67"/>
      <c r="GD10" s="67"/>
      <c r="GE10" s="67"/>
      <c r="GF10" s="67"/>
      <c r="GG10" s="67"/>
      <c r="GH10" s="67"/>
      <c r="GI10" s="67"/>
      <c r="GJ10" s="67"/>
      <c r="GK10" s="67"/>
      <c r="GL10" s="67"/>
      <c r="GM10" s="67"/>
      <c r="GN10" s="67"/>
      <c r="GO10" s="67"/>
      <c r="GP10" s="67"/>
      <c r="GQ10" s="67"/>
      <c r="GR10" s="67"/>
      <c r="GS10" s="67"/>
      <c r="GT10" s="67"/>
      <c r="GU10" s="67"/>
      <c r="GV10" s="67"/>
      <c r="GW10" s="67"/>
      <c r="GX10" s="67"/>
      <c r="GY10" s="67"/>
      <c r="GZ10" s="67"/>
      <c r="HA10" s="67"/>
      <c r="HB10" s="67"/>
      <c r="HC10" s="67"/>
      <c r="HD10" s="67"/>
      <c r="HE10" s="67"/>
      <c r="HF10" s="67"/>
      <c r="HG10" s="67"/>
      <c r="HH10" s="67"/>
      <c r="HI10" s="67"/>
      <c r="HJ10" s="67"/>
      <c r="HK10" s="67"/>
      <c r="HL10" s="67"/>
      <c r="HM10" s="67"/>
      <c r="HN10" s="67"/>
      <c r="HO10" s="67"/>
      <c r="HP10" s="67"/>
      <c r="HQ10" s="67"/>
      <c r="HR10" s="67"/>
      <c r="HS10" s="67"/>
      <c r="HT10" s="67"/>
      <c r="HU10" s="67"/>
      <c r="HV10" s="67"/>
      <c r="HW10" s="67"/>
      <c r="HX10" s="67"/>
      <c r="HY10" s="67"/>
      <c r="HZ10" s="67"/>
      <c r="IA10" s="67"/>
      <c r="IB10" s="67"/>
      <c r="IC10" s="67"/>
      <c r="ID10" s="67"/>
      <c r="IE10" s="67"/>
      <c r="IF10" s="67"/>
      <c r="IG10" s="67"/>
      <c r="IH10" s="67"/>
      <c r="II10" s="67"/>
      <c r="IJ10" s="67"/>
      <c r="IK10" s="67"/>
      <c r="IL10" s="67"/>
      <c r="IM10" s="67"/>
      <c r="IN10" s="67"/>
      <c r="IO10" s="67"/>
      <c r="IP10" s="67"/>
      <c r="IQ10" s="67"/>
      <c r="IR10" s="67"/>
      <c r="IS10" s="67"/>
      <c r="IT10" s="67"/>
      <c r="IU10" s="67"/>
      <c r="IV10" s="67"/>
    </row>
    <row r="11" spans="1:256" x14ac:dyDescent="0.2">
      <c r="A11" s="64" t="str">
        <f ca="1">Database!E7</f>
        <v>100-250 Vdc / 110-240 Vac</v>
      </c>
      <c r="B11" s="65"/>
      <c r="C11" s="65"/>
      <c r="D11" s="65"/>
      <c r="E11" s="71"/>
      <c r="F11" s="72">
        <f ca="1">Database!F7</f>
        <v>3</v>
      </c>
      <c r="G11" s="60"/>
      <c r="H11" s="58"/>
      <c r="I11" s="61"/>
      <c r="J11" s="62"/>
      <c r="K11" s="63"/>
      <c r="L11" s="61"/>
      <c r="M11" s="109"/>
      <c r="N11" s="63"/>
      <c r="O11" s="61"/>
      <c r="P11" s="110"/>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7"/>
      <c r="EG11" s="67"/>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7"/>
      <c r="FZ11" s="67"/>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7"/>
      <c r="HS11" s="67"/>
      <c r="HT11" s="67"/>
      <c r="HU11" s="67"/>
      <c r="HV11" s="67"/>
      <c r="HW11" s="67"/>
      <c r="HX11" s="67"/>
      <c r="HY11" s="67"/>
      <c r="HZ11" s="67"/>
      <c r="IA11" s="67"/>
      <c r="IB11" s="67"/>
      <c r="IC11" s="67"/>
      <c r="ID11" s="67"/>
      <c r="IE11" s="67"/>
      <c r="IF11" s="67"/>
      <c r="IG11" s="67"/>
      <c r="IH11" s="67"/>
      <c r="II11" s="67"/>
      <c r="IJ11" s="67"/>
      <c r="IK11" s="67"/>
      <c r="IL11" s="67"/>
      <c r="IM11" s="67"/>
      <c r="IN11" s="67"/>
      <c r="IO11" s="67"/>
      <c r="IP11" s="67"/>
      <c r="IQ11" s="67"/>
      <c r="IR11" s="67"/>
      <c r="IS11" s="67"/>
      <c r="IT11" s="67"/>
      <c r="IU11" s="67"/>
      <c r="IV11" s="67"/>
    </row>
    <row r="12" spans="1:256" x14ac:dyDescent="0.2">
      <c r="A12" s="68"/>
      <c r="B12" s="69"/>
      <c r="C12" s="69"/>
      <c r="D12" s="69"/>
      <c r="E12" s="70"/>
      <c r="F12" s="73"/>
      <c r="G12" s="60"/>
      <c r="H12" s="58"/>
      <c r="I12" s="61"/>
      <c r="J12" s="62"/>
      <c r="K12" s="63"/>
      <c r="L12" s="61"/>
      <c r="M12" s="109"/>
      <c r="N12" s="63"/>
      <c r="O12" s="61"/>
      <c r="P12" s="110"/>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c r="DQ12" s="67"/>
      <c r="DR12" s="67"/>
      <c r="DS12" s="67"/>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7"/>
      <c r="ET12" s="67"/>
      <c r="EU12" s="67"/>
      <c r="EV12" s="67"/>
      <c r="EW12" s="67"/>
      <c r="EX12" s="67"/>
      <c r="EY12" s="67"/>
      <c r="EZ12" s="67"/>
      <c r="FA12" s="67"/>
      <c r="FB12" s="67"/>
      <c r="FC12" s="67"/>
      <c r="FD12" s="67"/>
      <c r="FE12" s="67"/>
      <c r="FF12" s="67"/>
      <c r="FG12" s="67"/>
      <c r="FH12" s="67"/>
      <c r="FI12" s="67"/>
      <c r="FJ12" s="67"/>
      <c r="FK12" s="67"/>
      <c r="FL12" s="67"/>
      <c r="FM12" s="67"/>
      <c r="FN12" s="67"/>
      <c r="FO12" s="67"/>
      <c r="FP12" s="67"/>
      <c r="FQ12" s="67"/>
      <c r="FR12" s="67"/>
      <c r="FS12" s="67"/>
      <c r="FT12" s="67"/>
      <c r="FU12" s="67"/>
      <c r="FV12" s="67"/>
      <c r="FW12" s="67"/>
      <c r="FX12" s="67"/>
      <c r="FY12" s="67"/>
      <c r="FZ12" s="67"/>
      <c r="GA12" s="67"/>
      <c r="GB12" s="67"/>
      <c r="GC12" s="67"/>
      <c r="GD12" s="67"/>
      <c r="GE12" s="67"/>
      <c r="GF12" s="67"/>
      <c r="GG12" s="67"/>
      <c r="GH12" s="67"/>
      <c r="GI12" s="67"/>
      <c r="GJ12" s="67"/>
      <c r="GK12" s="67"/>
      <c r="GL12" s="67"/>
      <c r="GM12" s="67"/>
      <c r="GN12" s="67"/>
      <c r="GO12" s="67"/>
      <c r="GP12" s="67"/>
      <c r="GQ12" s="67"/>
      <c r="GR12" s="67"/>
      <c r="GS12" s="67"/>
      <c r="GT12" s="67"/>
      <c r="GU12" s="67"/>
      <c r="GV12" s="67"/>
      <c r="GW12" s="67"/>
      <c r="GX12" s="67"/>
      <c r="GY12" s="67"/>
      <c r="GZ12" s="67"/>
      <c r="HA12" s="67"/>
      <c r="HB12" s="67"/>
      <c r="HC12" s="67"/>
      <c r="HD12" s="67"/>
      <c r="HE12" s="67"/>
      <c r="HF12" s="67"/>
      <c r="HG12" s="67"/>
      <c r="HH12" s="67"/>
      <c r="HI12" s="67"/>
      <c r="HJ12" s="67"/>
      <c r="HK12" s="67"/>
      <c r="HL12" s="67"/>
      <c r="HM12" s="67"/>
      <c r="HN12" s="67"/>
      <c r="HO12" s="67"/>
      <c r="HP12" s="67"/>
      <c r="HQ12" s="67"/>
      <c r="HR12" s="67"/>
      <c r="HS12" s="67"/>
      <c r="HT12" s="67"/>
      <c r="HU12" s="67"/>
      <c r="HV12" s="67"/>
      <c r="HW12" s="67"/>
      <c r="HX12" s="67"/>
      <c r="HY12" s="67"/>
      <c r="HZ12" s="67"/>
      <c r="IA12" s="67"/>
      <c r="IB12" s="67"/>
      <c r="IC12" s="67"/>
      <c r="ID12" s="67"/>
      <c r="IE12" s="67"/>
      <c r="IF12" s="67"/>
      <c r="IG12" s="67"/>
      <c r="IH12" s="67"/>
      <c r="II12" s="67"/>
      <c r="IJ12" s="67"/>
      <c r="IK12" s="67"/>
      <c r="IL12" s="67"/>
      <c r="IM12" s="67"/>
      <c r="IN12" s="67"/>
      <c r="IO12" s="67"/>
      <c r="IP12" s="67"/>
      <c r="IQ12" s="67"/>
      <c r="IR12" s="67"/>
      <c r="IS12" s="67"/>
      <c r="IT12" s="67"/>
      <c r="IU12" s="67"/>
      <c r="IV12" s="67"/>
    </row>
    <row r="13" spans="1:256" x14ac:dyDescent="0.2">
      <c r="A13" s="57" t="str">
        <f>'Date Drivers'!B9</f>
        <v>Power Supply 2</v>
      </c>
      <c r="B13" s="158"/>
      <c r="C13" s="65"/>
      <c r="D13" s="65"/>
      <c r="E13" s="71"/>
      <c r="F13" s="74"/>
      <c r="G13" s="60"/>
      <c r="H13" s="58"/>
      <c r="I13" s="61"/>
      <c r="J13" s="62"/>
      <c r="K13" s="63"/>
      <c r="L13" s="61"/>
      <c r="M13" s="109"/>
      <c r="N13" s="63"/>
      <c r="O13" s="61"/>
      <c r="P13" s="110"/>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67"/>
      <c r="CH13" s="67"/>
      <c r="CI13" s="67"/>
      <c r="CJ13" s="67"/>
      <c r="CK13" s="67"/>
      <c r="CL13" s="67"/>
      <c r="CM13" s="67"/>
      <c r="CN13" s="67"/>
      <c r="CO13" s="67"/>
      <c r="CP13" s="67"/>
      <c r="CQ13" s="67"/>
      <c r="CR13" s="67"/>
      <c r="CS13" s="67"/>
      <c r="CT13" s="67"/>
      <c r="CU13" s="67"/>
      <c r="CV13" s="67"/>
      <c r="CW13" s="67"/>
      <c r="CX13" s="67"/>
      <c r="CY13" s="67"/>
      <c r="CZ13" s="67"/>
      <c r="DA13" s="67"/>
      <c r="DB13" s="67"/>
      <c r="DC13" s="67"/>
      <c r="DD13" s="67"/>
      <c r="DE13" s="67"/>
      <c r="DF13" s="67"/>
      <c r="DG13" s="67"/>
      <c r="DH13" s="67"/>
      <c r="DI13" s="67"/>
      <c r="DJ13" s="67"/>
      <c r="DK13" s="67"/>
      <c r="DL13" s="67"/>
      <c r="DM13" s="67"/>
      <c r="DN13" s="67"/>
      <c r="DO13" s="67"/>
      <c r="DP13" s="67"/>
      <c r="DQ13" s="67"/>
      <c r="DR13" s="67"/>
      <c r="DS13" s="67"/>
      <c r="DT13" s="67"/>
      <c r="DU13" s="67"/>
      <c r="DV13" s="67"/>
      <c r="DW13" s="67"/>
      <c r="DX13" s="67"/>
      <c r="DY13" s="67"/>
      <c r="DZ13" s="67"/>
      <c r="EA13" s="67"/>
      <c r="EB13" s="67"/>
      <c r="EC13" s="67"/>
      <c r="ED13" s="67"/>
      <c r="EE13" s="67"/>
      <c r="EF13" s="67"/>
      <c r="EG13" s="67"/>
      <c r="EH13" s="67"/>
      <c r="EI13" s="67"/>
      <c r="EJ13" s="67"/>
      <c r="EK13" s="67"/>
      <c r="EL13" s="67"/>
      <c r="EM13" s="67"/>
      <c r="EN13" s="67"/>
      <c r="EO13" s="67"/>
      <c r="EP13" s="67"/>
      <c r="EQ13" s="67"/>
      <c r="ER13" s="67"/>
      <c r="ES13" s="67"/>
      <c r="ET13" s="67"/>
      <c r="EU13" s="67"/>
      <c r="EV13" s="67"/>
      <c r="EW13" s="67"/>
      <c r="EX13" s="67"/>
      <c r="EY13" s="67"/>
      <c r="EZ13" s="67"/>
      <c r="FA13" s="67"/>
      <c r="FB13" s="67"/>
      <c r="FC13" s="67"/>
      <c r="FD13" s="67"/>
      <c r="FE13" s="67"/>
      <c r="FF13" s="67"/>
      <c r="FG13" s="67"/>
      <c r="FH13" s="67"/>
      <c r="FI13" s="67"/>
      <c r="FJ13" s="67"/>
      <c r="FK13" s="67"/>
      <c r="FL13" s="67"/>
      <c r="FM13" s="67"/>
      <c r="FN13" s="67"/>
      <c r="FO13" s="67"/>
      <c r="FP13" s="67"/>
      <c r="FQ13" s="67"/>
      <c r="FR13" s="67"/>
      <c r="FS13" s="67"/>
      <c r="FT13" s="67"/>
      <c r="FU13" s="67"/>
      <c r="FV13" s="67"/>
      <c r="FW13" s="67"/>
      <c r="FX13" s="67"/>
      <c r="FY13" s="67"/>
      <c r="FZ13" s="67"/>
      <c r="GA13" s="67"/>
      <c r="GB13" s="67"/>
      <c r="GC13" s="67"/>
      <c r="GD13" s="67"/>
      <c r="GE13" s="67"/>
      <c r="GF13" s="67"/>
      <c r="GG13" s="67"/>
      <c r="GH13" s="67"/>
      <c r="GI13" s="67"/>
      <c r="GJ13" s="67"/>
      <c r="GK13" s="67"/>
      <c r="GL13" s="67"/>
      <c r="GM13" s="67"/>
      <c r="GN13" s="67"/>
      <c r="GO13" s="67"/>
      <c r="GP13" s="67"/>
      <c r="GQ13" s="67"/>
      <c r="GR13" s="67"/>
      <c r="GS13" s="67"/>
      <c r="GT13" s="67"/>
      <c r="GU13" s="67"/>
      <c r="GV13" s="67"/>
      <c r="GW13" s="67"/>
      <c r="GX13" s="67"/>
      <c r="GY13" s="67"/>
      <c r="GZ13" s="67"/>
      <c r="HA13" s="67"/>
      <c r="HB13" s="67"/>
      <c r="HC13" s="67"/>
      <c r="HD13" s="67"/>
      <c r="HE13" s="67"/>
      <c r="HF13" s="67"/>
      <c r="HG13" s="67"/>
      <c r="HH13" s="67"/>
      <c r="HI13" s="67"/>
      <c r="HJ13" s="67"/>
      <c r="HK13" s="67"/>
      <c r="HL13" s="67"/>
      <c r="HM13" s="67"/>
      <c r="HN13" s="67"/>
      <c r="HO13" s="67"/>
      <c r="HP13" s="67"/>
      <c r="HQ13" s="67"/>
      <c r="HR13" s="67"/>
      <c r="HS13" s="67"/>
      <c r="HT13" s="67"/>
      <c r="HU13" s="67"/>
      <c r="HV13" s="67"/>
      <c r="HW13" s="67"/>
      <c r="HX13" s="67"/>
      <c r="HY13" s="67"/>
      <c r="HZ13" s="67"/>
      <c r="IA13" s="67"/>
      <c r="IB13" s="67"/>
      <c r="IC13" s="67"/>
      <c r="ID13" s="67"/>
      <c r="IE13" s="67"/>
      <c r="IF13" s="67"/>
      <c r="IG13" s="67"/>
      <c r="IH13" s="67"/>
      <c r="II13" s="67"/>
      <c r="IJ13" s="67"/>
      <c r="IK13" s="67"/>
      <c r="IL13" s="67"/>
      <c r="IM13" s="67"/>
      <c r="IN13" s="67"/>
      <c r="IO13" s="67"/>
      <c r="IP13" s="67"/>
      <c r="IQ13" s="67"/>
      <c r="IR13" s="67"/>
      <c r="IS13" s="67"/>
      <c r="IT13" s="67"/>
      <c r="IU13" s="67"/>
      <c r="IV13" s="67"/>
    </row>
    <row r="14" spans="1:256" x14ac:dyDescent="0.2">
      <c r="A14" s="64" t="str">
        <f ca="1">Database!E10</f>
        <v>24-48 Vdc</v>
      </c>
      <c r="B14" s="65"/>
      <c r="C14" s="65"/>
      <c r="D14" s="65"/>
      <c r="E14" s="71"/>
      <c r="F14" s="74"/>
      <c r="G14" s="72">
        <f ca="1">Database!F10</f>
        <v>1</v>
      </c>
      <c r="H14" s="58"/>
      <c r="I14" s="61"/>
      <c r="J14" s="62"/>
      <c r="K14" s="63"/>
      <c r="L14" s="61"/>
      <c r="M14" s="109"/>
      <c r="N14" s="63"/>
      <c r="O14" s="61"/>
      <c r="P14" s="110"/>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67"/>
      <c r="CO14" s="67"/>
      <c r="CP14" s="67"/>
      <c r="CQ14" s="67"/>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7"/>
      <c r="DP14" s="67"/>
      <c r="DQ14" s="67"/>
      <c r="DR14" s="67"/>
      <c r="DS14" s="67"/>
      <c r="DT14" s="67"/>
      <c r="DU14" s="67"/>
      <c r="DV14" s="67"/>
      <c r="DW14" s="67"/>
      <c r="DX14" s="67"/>
      <c r="DY14" s="67"/>
      <c r="DZ14" s="67"/>
      <c r="EA14" s="67"/>
      <c r="EB14" s="67"/>
      <c r="EC14" s="67"/>
      <c r="ED14" s="67"/>
      <c r="EE14" s="67"/>
      <c r="EF14" s="67"/>
      <c r="EG14" s="67"/>
      <c r="EH14" s="67"/>
      <c r="EI14" s="67"/>
      <c r="EJ14" s="67"/>
      <c r="EK14" s="67"/>
      <c r="EL14" s="67"/>
      <c r="EM14" s="67"/>
      <c r="EN14" s="67"/>
      <c r="EO14" s="67"/>
      <c r="EP14" s="67"/>
      <c r="EQ14" s="67"/>
      <c r="ER14" s="67"/>
      <c r="ES14" s="67"/>
      <c r="ET14" s="67"/>
      <c r="EU14" s="67"/>
      <c r="EV14" s="67"/>
      <c r="EW14" s="67"/>
      <c r="EX14" s="67"/>
      <c r="EY14" s="67"/>
      <c r="EZ14" s="67"/>
      <c r="FA14" s="67"/>
      <c r="FB14" s="67"/>
      <c r="FC14" s="67"/>
      <c r="FD14" s="67"/>
      <c r="FE14" s="67"/>
      <c r="FF14" s="67"/>
      <c r="FG14" s="67"/>
      <c r="FH14" s="67"/>
      <c r="FI14" s="67"/>
      <c r="FJ14" s="67"/>
      <c r="FK14" s="67"/>
      <c r="FL14" s="67"/>
      <c r="FM14" s="67"/>
      <c r="FN14" s="67"/>
      <c r="FO14" s="67"/>
      <c r="FP14" s="67"/>
      <c r="FQ14" s="67"/>
      <c r="FR14" s="67"/>
      <c r="FS14" s="67"/>
      <c r="FT14" s="67"/>
      <c r="FU14" s="67"/>
      <c r="FV14" s="67"/>
      <c r="FW14" s="67"/>
      <c r="FX14" s="67"/>
      <c r="FY14" s="67"/>
      <c r="FZ14" s="67"/>
      <c r="GA14" s="67"/>
      <c r="GB14" s="67"/>
      <c r="GC14" s="67"/>
      <c r="GD14" s="67"/>
      <c r="GE14" s="67"/>
      <c r="GF14" s="67"/>
      <c r="GG14" s="67"/>
      <c r="GH14" s="67"/>
      <c r="GI14" s="67"/>
      <c r="GJ14" s="67"/>
      <c r="GK14" s="67"/>
      <c r="GL14" s="67"/>
      <c r="GM14" s="67"/>
      <c r="GN14" s="67"/>
      <c r="GO14" s="67"/>
      <c r="GP14" s="67"/>
      <c r="GQ14" s="67"/>
      <c r="GR14" s="67"/>
      <c r="GS14" s="67"/>
      <c r="GT14" s="67"/>
      <c r="GU14" s="67"/>
      <c r="GV14" s="67"/>
      <c r="GW14" s="67"/>
      <c r="GX14" s="67"/>
      <c r="GY14" s="67"/>
      <c r="GZ14" s="67"/>
      <c r="HA14" s="67"/>
      <c r="HB14" s="67"/>
      <c r="HC14" s="67"/>
      <c r="HD14" s="67"/>
      <c r="HE14" s="67"/>
      <c r="HF14" s="67"/>
      <c r="HG14" s="67"/>
      <c r="HH14" s="67"/>
      <c r="HI14" s="67"/>
      <c r="HJ14" s="67"/>
      <c r="HK14" s="67"/>
      <c r="HL14" s="67"/>
      <c r="HM14" s="67"/>
      <c r="HN14" s="67"/>
      <c r="HO14" s="67"/>
      <c r="HP14" s="67"/>
      <c r="HQ14" s="67"/>
      <c r="HR14" s="67"/>
      <c r="HS14" s="67"/>
      <c r="HT14" s="67"/>
      <c r="HU14" s="67"/>
      <c r="HV14" s="67"/>
      <c r="HW14" s="67"/>
      <c r="HX14" s="67"/>
      <c r="HY14" s="67"/>
      <c r="HZ14" s="67"/>
      <c r="IA14" s="67"/>
      <c r="IB14" s="67"/>
      <c r="IC14" s="67"/>
      <c r="ID14" s="67"/>
      <c r="IE14" s="67"/>
      <c r="IF14" s="67"/>
      <c r="IG14" s="67"/>
      <c r="IH14" s="67"/>
      <c r="II14" s="67"/>
      <c r="IJ14" s="67"/>
      <c r="IK14" s="67"/>
      <c r="IL14" s="67"/>
      <c r="IM14" s="67"/>
      <c r="IN14" s="67"/>
      <c r="IO14" s="67"/>
      <c r="IP14" s="67"/>
      <c r="IQ14" s="67"/>
      <c r="IR14" s="67"/>
      <c r="IS14" s="67"/>
      <c r="IT14" s="67"/>
      <c r="IU14" s="67"/>
      <c r="IV14" s="67"/>
    </row>
    <row r="15" spans="1:256" x14ac:dyDescent="0.2">
      <c r="A15" s="64" t="str">
        <f ca="1">Database!E11</f>
        <v>100-250 Vdc / 110-240 Vac</v>
      </c>
      <c r="B15" s="65"/>
      <c r="C15" s="65"/>
      <c r="D15" s="65"/>
      <c r="E15" s="71"/>
      <c r="F15" s="74"/>
      <c r="G15" s="72">
        <f ca="1">Database!F11</f>
        <v>3</v>
      </c>
      <c r="H15" s="58"/>
      <c r="I15" s="61"/>
      <c r="J15" s="62"/>
      <c r="K15" s="63"/>
      <c r="L15" s="61"/>
      <c r="M15" s="109"/>
      <c r="N15" s="63"/>
      <c r="O15" s="61"/>
      <c r="P15" s="110"/>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c r="CC15" s="67"/>
      <c r="CD15" s="67"/>
      <c r="CE15" s="67"/>
      <c r="CF15" s="67"/>
      <c r="CG15" s="67"/>
      <c r="CH15" s="67"/>
      <c r="CI15" s="67"/>
      <c r="CJ15" s="67"/>
      <c r="CK15" s="67"/>
      <c r="CL15" s="67"/>
      <c r="CM15" s="67"/>
      <c r="CN15" s="67"/>
      <c r="CO15" s="67"/>
      <c r="CP15" s="67"/>
      <c r="CQ15" s="67"/>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67"/>
      <c r="DQ15" s="67"/>
      <c r="DR15" s="67"/>
      <c r="DS15" s="67"/>
      <c r="DT15" s="67"/>
      <c r="DU15" s="67"/>
      <c r="DV15" s="67"/>
      <c r="DW15" s="67"/>
      <c r="DX15" s="67"/>
      <c r="DY15" s="67"/>
      <c r="DZ15" s="67"/>
      <c r="EA15" s="67"/>
      <c r="EB15" s="67"/>
      <c r="EC15" s="67"/>
      <c r="ED15" s="67"/>
      <c r="EE15" s="67"/>
      <c r="EF15" s="67"/>
      <c r="EG15" s="67"/>
      <c r="EH15" s="67"/>
      <c r="EI15" s="67"/>
      <c r="EJ15" s="67"/>
      <c r="EK15" s="67"/>
      <c r="EL15" s="67"/>
      <c r="EM15" s="67"/>
      <c r="EN15" s="67"/>
      <c r="EO15" s="67"/>
      <c r="EP15" s="67"/>
      <c r="EQ15" s="67"/>
      <c r="ER15" s="67"/>
      <c r="ES15" s="67"/>
      <c r="ET15" s="67"/>
      <c r="EU15" s="67"/>
      <c r="EV15" s="67"/>
      <c r="EW15" s="67"/>
      <c r="EX15" s="67"/>
      <c r="EY15" s="67"/>
      <c r="EZ15" s="67"/>
      <c r="FA15" s="67"/>
      <c r="FB15" s="67"/>
      <c r="FC15" s="67"/>
      <c r="FD15" s="67"/>
      <c r="FE15" s="67"/>
      <c r="FF15" s="67"/>
      <c r="FG15" s="67"/>
      <c r="FH15" s="67"/>
      <c r="FI15" s="67"/>
      <c r="FJ15" s="67"/>
      <c r="FK15" s="67"/>
      <c r="FL15" s="67"/>
      <c r="FM15" s="67"/>
      <c r="FN15" s="67"/>
      <c r="FO15" s="67"/>
      <c r="FP15" s="67"/>
      <c r="FQ15" s="67"/>
      <c r="FR15" s="67"/>
      <c r="FS15" s="67"/>
      <c r="FT15" s="67"/>
      <c r="FU15" s="67"/>
      <c r="FV15" s="67"/>
      <c r="FW15" s="67"/>
      <c r="FX15" s="67"/>
      <c r="FY15" s="67"/>
      <c r="FZ15" s="67"/>
      <c r="GA15" s="67"/>
      <c r="GB15" s="67"/>
      <c r="GC15" s="67"/>
      <c r="GD15" s="67"/>
      <c r="GE15" s="67"/>
      <c r="GF15" s="67"/>
      <c r="GG15" s="67"/>
      <c r="GH15" s="67"/>
      <c r="GI15" s="67"/>
      <c r="GJ15" s="67"/>
      <c r="GK15" s="67"/>
      <c r="GL15" s="67"/>
      <c r="GM15" s="67"/>
      <c r="GN15" s="67"/>
      <c r="GO15" s="67"/>
      <c r="GP15" s="67"/>
      <c r="GQ15" s="67"/>
      <c r="GR15" s="67"/>
      <c r="GS15" s="67"/>
      <c r="GT15" s="67"/>
      <c r="GU15" s="67"/>
      <c r="GV15" s="67"/>
      <c r="GW15" s="67"/>
      <c r="GX15" s="67"/>
      <c r="GY15" s="67"/>
      <c r="GZ15" s="67"/>
      <c r="HA15" s="67"/>
      <c r="HB15" s="67"/>
      <c r="HC15" s="67"/>
      <c r="HD15" s="67"/>
      <c r="HE15" s="67"/>
      <c r="HF15" s="67"/>
      <c r="HG15" s="67"/>
      <c r="HH15" s="67"/>
      <c r="HI15" s="67"/>
      <c r="HJ15" s="67"/>
      <c r="HK15" s="67"/>
      <c r="HL15" s="67"/>
      <c r="HM15" s="67"/>
      <c r="HN15" s="67"/>
      <c r="HO15" s="67"/>
      <c r="HP15" s="67"/>
      <c r="HQ15" s="67"/>
      <c r="HR15" s="67"/>
      <c r="HS15" s="67"/>
      <c r="HT15" s="67"/>
      <c r="HU15" s="67"/>
      <c r="HV15" s="67"/>
      <c r="HW15" s="67"/>
      <c r="HX15" s="67"/>
      <c r="HY15" s="67"/>
      <c r="HZ15" s="67"/>
      <c r="IA15" s="67"/>
      <c r="IB15" s="67"/>
      <c r="IC15" s="67"/>
      <c r="ID15" s="67"/>
      <c r="IE15" s="67"/>
      <c r="IF15" s="67"/>
      <c r="IG15" s="67"/>
      <c r="IH15" s="67"/>
      <c r="II15" s="67"/>
      <c r="IJ15" s="67"/>
      <c r="IK15" s="67"/>
      <c r="IL15" s="67"/>
      <c r="IM15" s="67"/>
      <c r="IN15" s="67"/>
      <c r="IO15" s="67"/>
      <c r="IP15" s="67"/>
      <c r="IQ15" s="67"/>
      <c r="IR15" s="67"/>
      <c r="IS15" s="67"/>
      <c r="IT15" s="67"/>
      <c r="IU15" s="67"/>
      <c r="IV15" s="67"/>
    </row>
    <row r="16" spans="1:256" x14ac:dyDescent="0.2">
      <c r="A16" s="64" t="str">
        <f ca="1">Database!E12</f>
        <v>Not installed</v>
      </c>
      <c r="B16" s="65"/>
      <c r="C16" s="65"/>
      <c r="D16" s="65"/>
      <c r="E16" s="71"/>
      <c r="F16" s="74"/>
      <c r="G16" s="72" t="str">
        <f ca="1">Database!F12</f>
        <v>X</v>
      </c>
      <c r="H16" s="58"/>
      <c r="I16" s="61"/>
      <c r="J16" s="62"/>
      <c r="K16" s="63"/>
      <c r="L16" s="61"/>
      <c r="M16" s="109"/>
      <c r="N16" s="63"/>
      <c r="O16" s="61"/>
      <c r="P16" s="110"/>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CY16" s="67"/>
      <c r="CZ16" s="67"/>
      <c r="DA16" s="67"/>
      <c r="DB16" s="67"/>
      <c r="DC16" s="67"/>
      <c r="DD16" s="67"/>
      <c r="DE16" s="67"/>
      <c r="DF16" s="67"/>
      <c r="DG16" s="67"/>
      <c r="DH16" s="67"/>
      <c r="DI16" s="67"/>
      <c r="DJ16" s="67"/>
      <c r="DK16" s="67"/>
      <c r="DL16" s="67"/>
      <c r="DM16" s="67"/>
      <c r="DN16" s="67"/>
      <c r="DO16" s="67"/>
      <c r="DP16" s="67"/>
      <c r="DQ16" s="67"/>
      <c r="DR16" s="67"/>
      <c r="DS16" s="67"/>
      <c r="DT16" s="67"/>
      <c r="DU16" s="67"/>
      <c r="DV16" s="67"/>
      <c r="DW16" s="67"/>
      <c r="DX16" s="67"/>
      <c r="DY16" s="67"/>
      <c r="DZ16" s="67"/>
      <c r="EA16" s="67"/>
      <c r="EB16" s="67"/>
      <c r="EC16" s="67"/>
      <c r="ED16" s="67"/>
      <c r="EE16" s="67"/>
      <c r="EF16" s="67"/>
      <c r="EG16" s="67"/>
      <c r="EH16" s="67"/>
      <c r="EI16" s="67"/>
      <c r="EJ16" s="67"/>
      <c r="EK16" s="67"/>
      <c r="EL16" s="67"/>
      <c r="EM16" s="67"/>
      <c r="EN16" s="67"/>
      <c r="EO16" s="67"/>
      <c r="EP16" s="67"/>
      <c r="EQ16" s="67"/>
      <c r="ER16" s="67"/>
      <c r="ES16" s="67"/>
      <c r="ET16" s="67"/>
      <c r="EU16" s="67"/>
      <c r="EV16" s="67"/>
      <c r="EW16" s="67"/>
      <c r="EX16" s="67"/>
      <c r="EY16" s="67"/>
      <c r="EZ16" s="67"/>
      <c r="FA16" s="67"/>
      <c r="FB16" s="67"/>
      <c r="FC16" s="67"/>
      <c r="FD16" s="67"/>
      <c r="FE16" s="67"/>
      <c r="FF16" s="67"/>
      <c r="FG16" s="67"/>
      <c r="FH16" s="67"/>
      <c r="FI16" s="67"/>
      <c r="FJ16" s="67"/>
      <c r="FK16" s="67"/>
      <c r="FL16" s="67"/>
      <c r="FM16" s="67"/>
      <c r="FN16" s="67"/>
      <c r="FO16" s="67"/>
      <c r="FP16" s="67"/>
      <c r="FQ16" s="67"/>
      <c r="FR16" s="67"/>
      <c r="FS16" s="67"/>
      <c r="FT16" s="67"/>
      <c r="FU16" s="67"/>
      <c r="FV16" s="67"/>
      <c r="FW16" s="67"/>
      <c r="FX16" s="67"/>
      <c r="FY16" s="67"/>
      <c r="FZ16" s="67"/>
      <c r="GA16" s="67"/>
      <c r="GB16" s="67"/>
      <c r="GC16" s="67"/>
      <c r="GD16" s="67"/>
      <c r="GE16" s="67"/>
      <c r="GF16" s="67"/>
      <c r="GG16" s="67"/>
      <c r="GH16" s="67"/>
      <c r="GI16" s="67"/>
      <c r="GJ16" s="67"/>
      <c r="GK16" s="67"/>
      <c r="GL16" s="67"/>
      <c r="GM16" s="67"/>
      <c r="GN16" s="67"/>
      <c r="GO16" s="67"/>
      <c r="GP16" s="67"/>
      <c r="GQ16" s="67"/>
      <c r="GR16" s="67"/>
      <c r="GS16" s="67"/>
      <c r="GT16" s="67"/>
      <c r="GU16" s="67"/>
      <c r="GV16" s="67"/>
      <c r="GW16" s="67"/>
      <c r="GX16" s="67"/>
      <c r="GY16" s="67"/>
      <c r="GZ16" s="67"/>
      <c r="HA16" s="67"/>
      <c r="HB16" s="67"/>
      <c r="HC16" s="67"/>
      <c r="HD16" s="67"/>
      <c r="HE16" s="67"/>
      <c r="HF16" s="67"/>
      <c r="HG16" s="67"/>
      <c r="HH16" s="67"/>
      <c r="HI16" s="67"/>
      <c r="HJ16" s="67"/>
      <c r="HK16" s="67"/>
      <c r="HL16" s="67"/>
      <c r="HM16" s="67"/>
      <c r="HN16" s="67"/>
      <c r="HO16" s="67"/>
      <c r="HP16" s="67"/>
      <c r="HQ16" s="67"/>
      <c r="HR16" s="67"/>
      <c r="HS16" s="67"/>
      <c r="HT16" s="67"/>
      <c r="HU16" s="67"/>
      <c r="HV16" s="67"/>
      <c r="HW16" s="67"/>
      <c r="HX16" s="67"/>
      <c r="HY16" s="67"/>
      <c r="HZ16" s="67"/>
      <c r="IA16" s="67"/>
      <c r="IB16" s="67"/>
      <c r="IC16" s="67"/>
      <c r="ID16" s="67"/>
      <c r="IE16" s="67"/>
      <c r="IF16" s="67"/>
      <c r="IG16" s="67"/>
      <c r="IH16" s="67"/>
      <c r="II16" s="67"/>
      <c r="IJ16" s="67"/>
      <c r="IK16" s="67"/>
      <c r="IL16" s="67"/>
      <c r="IM16" s="67"/>
      <c r="IN16" s="67"/>
      <c r="IO16" s="67"/>
      <c r="IP16" s="67"/>
      <c r="IQ16" s="67"/>
      <c r="IR16" s="67"/>
      <c r="IS16" s="67"/>
      <c r="IT16" s="67"/>
      <c r="IU16" s="67"/>
      <c r="IV16" s="67"/>
    </row>
    <row r="17" spans="1:256" x14ac:dyDescent="0.2">
      <c r="A17" s="68"/>
      <c r="B17" s="69"/>
      <c r="C17" s="69"/>
      <c r="D17" s="69"/>
      <c r="E17" s="70"/>
      <c r="F17" s="73"/>
      <c r="G17" s="73"/>
      <c r="H17" s="58"/>
      <c r="I17" s="61"/>
      <c r="J17" s="62"/>
      <c r="K17" s="63"/>
      <c r="L17" s="61"/>
      <c r="M17" s="109"/>
      <c r="N17" s="63"/>
      <c r="O17" s="61"/>
      <c r="P17" s="110"/>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7"/>
      <c r="CD17" s="67"/>
      <c r="CE17" s="67"/>
      <c r="CF17" s="67"/>
      <c r="CG17" s="67"/>
      <c r="CH17" s="67"/>
      <c r="CI17" s="67"/>
      <c r="CJ17" s="67"/>
      <c r="CK17" s="67"/>
      <c r="CL17" s="67"/>
      <c r="CM17" s="67"/>
      <c r="CN17" s="67"/>
      <c r="CO17" s="67"/>
      <c r="CP17" s="67"/>
      <c r="CQ17" s="67"/>
      <c r="CR17" s="67"/>
      <c r="CS17" s="67"/>
      <c r="CT17" s="67"/>
      <c r="CU17" s="67"/>
      <c r="CV17" s="67"/>
      <c r="CW17" s="67"/>
      <c r="CX17" s="67"/>
      <c r="CY17" s="67"/>
      <c r="CZ17" s="67"/>
      <c r="DA17" s="67"/>
      <c r="DB17" s="67"/>
      <c r="DC17" s="67"/>
      <c r="DD17" s="67"/>
      <c r="DE17" s="67"/>
      <c r="DF17" s="67"/>
      <c r="DG17" s="67"/>
      <c r="DH17" s="67"/>
      <c r="DI17" s="67"/>
      <c r="DJ17" s="67"/>
      <c r="DK17" s="67"/>
      <c r="DL17" s="67"/>
      <c r="DM17" s="67"/>
      <c r="DN17" s="67"/>
      <c r="DO17" s="67"/>
      <c r="DP17" s="67"/>
      <c r="DQ17" s="67"/>
      <c r="DR17" s="67"/>
      <c r="DS17" s="67"/>
      <c r="DT17" s="67"/>
      <c r="DU17" s="67"/>
      <c r="DV17" s="67"/>
      <c r="DW17" s="67"/>
      <c r="DX17" s="67"/>
      <c r="DY17" s="67"/>
      <c r="DZ17" s="67"/>
      <c r="EA17" s="67"/>
      <c r="EB17" s="67"/>
      <c r="EC17" s="67"/>
      <c r="ED17" s="67"/>
      <c r="EE17" s="67"/>
      <c r="EF17" s="67"/>
      <c r="EG17" s="67"/>
      <c r="EH17" s="67"/>
      <c r="EI17" s="67"/>
      <c r="EJ17" s="67"/>
      <c r="EK17" s="67"/>
      <c r="EL17" s="67"/>
      <c r="EM17" s="67"/>
      <c r="EN17" s="67"/>
      <c r="EO17" s="67"/>
      <c r="EP17" s="67"/>
      <c r="EQ17" s="67"/>
      <c r="ER17" s="67"/>
      <c r="ES17" s="67"/>
      <c r="ET17" s="67"/>
      <c r="EU17" s="67"/>
      <c r="EV17" s="67"/>
      <c r="EW17" s="67"/>
      <c r="EX17" s="67"/>
      <c r="EY17" s="67"/>
      <c r="EZ17" s="67"/>
      <c r="FA17" s="67"/>
      <c r="FB17" s="67"/>
      <c r="FC17" s="67"/>
      <c r="FD17" s="67"/>
      <c r="FE17" s="67"/>
      <c r="FF17" s="67"/>
      <c r="FG17" s="67"/>
      <c r="FH17" s="67"/>
      <c r="FI17" s="67"/>
      <c r="FJ17" s="67"/>
      <c r="FK17" s="67"/>
      <c r="FL17" s="67"/>
      <c r="FM17" s="67"/>
      <c r="FN17" s="67"/>
      <c r="FO17" s="67"/>
      <c r="FP17" s="67"/>
      <c r="FQ17" s="67"/>
      <c r="FR17" s="67"/>
      <c r="FS17" s="67"/>
      <c r="FT17" s="67"/>
      <c r="FU17" s="67"/>
      <c r="FV17" s="67"/>
      <c r="FW17" s="67"/>
      <c r="FX17" s="67"/>
      <c r="FY17" s="67"/>
      <c r="FZ17" s="67"/>
      <c r="GA17" s="67"/>
      <c r="GB17" s="67"/>
      <c r="GC17" s="67"/>
      <c r="GD17" s="67"/>
      <c r="GE17" s="67"/>
      <c r="GF17" s="67"/>
      <c r="GG17" s="67"/>
      <c r="GH17" s="67"/>
      <c r="GI17" s="67"/>
      <c r="GJ17" s="67"/>
      <c r="GK17" s="67"/>
      <c r="GL17" s="67"/>
      <c r="GM17" s="67"/>
      <c r="GN17" s="67"/>
      <c r="GO17" s="67"/>
      <c r="GP17" s="67"/>
      <c r="GQ17" s="67"/>
      <c r="GR17" s="67"/>
      <c r="GS17" s="67"/>
      <c r="GT17" s="67"/>
      <c r="GU17" s="67"/>
      <c r="GV17" s="67"/>
      <c r="GW17" s="67"/>
      <c r="GX17" s="67"/>
      <c r="GY17" s="67"/>
      <c r="GZ17" s="67"/>
      <c r="HA17" s="67"/>
      <c r="HB17" s="67"/>
      <c r="HC17" s="67"/>
      <c r="HD17" s="67"/>
      <c r="HE17" s="67"/>
      <c r="HF17" s="67"/>
      <c r="HG17" s="67"/>
      <c r="HH17" s="67"/>
      <c r="HI17" s="67"/>
      <c r="HJ17" s="67"/>
      <c r="HK17" s="67"/>
      <c r="HL17" s="67"/>
      <c r="HM17" s="67"/>
      <c r="HN17" s="67"/>
      <c r="HO17" s="67"/>
      <c r="HP17" s="67"/>
      <c r="HQ17" s="67"/>
      <c r="HR17" s="67"/>
      <c r="HS17" s="67"/>
      <c r="HT17" s="67"/>
      <c r="HU17" s="67"/>
      <c r="HV17" s="67"/>
      <c r="HW17" s="67"/>
      <c r="HX17" s="67"/>
      <c r="HY17" s="67"/>
      <c r="HZ17" s="67"/>
      <c r="IA17" s="67"/>
      <c r="IB17" s="67"/>
      <c r="IC17" s="67"/>
      <c r="ID17" s="67"/>
      <c r="IE17" s="67"/>
      <c r="IF17" s="67"/>
      <c r="IG17" s="67"/>
      <c r="IH17" s="67"/>
      <c r="II17" s="67"/>
      <c r="IJ17" s="67"/>
      <c r="IK17" s="67"/>
      <c r="IL17" s="67"/>
      <c r="IM17" s="67"/>
      <c r="IN17" s="67"/>
      <c r="IO17" s="67"/>
      <c r="IP17" s="67"/>
      <c r="IQ17" s="67"/>
      <c r="IR17" s="67"/>
      <c r="IS17" s="67"/>
      <c r="IT17" s="67"/>
      <c r="IU17" s="67"/>
      <c r="IV17" s="67"/>
    </row>
    <row r="18" spans="1:256" x14ac:dyDescent="0.2">
      <c r="A18" s="95" t="str">
        <f>'Date Drivers'!B13</f>
        <v>Ethernet Interface 1 and 2</v>
      </c>
      <c r="B18" s="159"/>
      <c r="C18" s="96"/>
      <c r="D18" s="96"/>
      <c r="E18" s="74"/>
      <c r="F18" s="74"/>
      <c r="G18" s="74"/>
      <c r="H18" s="58"/>
      <c r="I18" s="61"/>
      <c r="J18" s="62"/>
      <c r="K18" s="63"/>
      <c r="L18" s="61"/>
      <c r="M18" s="109"/>
      <c r="N18" s="63"/>
      <c r="O18" s="61"/>
      <c r="P18" s="110"/>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7"/>
      <c r="BS18" s="67"/>
      <c r="BT18" s="67"/>
      <c r="BU18" s="67"/>
      <c r="BV18" s="67"/>
      <c r="BW18" s="67"/>
      <c r="BX18" s="67"/>
      <c r="BY18" s="67"/>
      <c r="BZ18" s="67"/>
      <c r="CA18" s="67"/>
      <c r="CB18" s="67"/>
      <c r="CC18" s="67"/>
      <c r="CD18" s="67"/>
      <c r="CE18" s="67"/>
      <c r="CF18" s="67"/>
      <c r="CG18" s="67"/>
      <c r="CH18" s="67"/>
      <c r="CI18" s="67"/>
      <c r="CJ18" s="67"/>
      <c r="CK18" s="67"/>
      <c r="CL18" s="67"/>
      <c r="CM18" s="67"/>
      <c r="CN18" s="67"/>
      <c r="CO18" s="67"/>
      <c r="CP18" s="67"/>
      <c r="CQ18" s="67"/>
      <c r="CR18" s="67"/>
      <c r="CS18" s="67"/>
      <c r="CT18" s="67"/>
      <c r="CU18" s="67"/>
      <c r="CV18" s="67"/>
      <c r="CW18" s="67"/>
      <c r="CX18" s="67"/>
      <c r="CY18" s="67"/>
      <c r="CZ18" s="67"/>
      <c r="DA18" s="67"/>
      <c r="DB18" s="67"/>
      <c r="DC18" s="67"/>
      <c r="DD18" s="67"/>
      <c r="DE18" s="67"/>
      <c r="DF18" s="67"/>
      <c r="DG18" s="67"/>
      <c r="DH18" s="67"/>
      <c r="DI18" s="67"/>
      <c r="DJ18" s="67"/>
      <c r="DK18" s="67"/>
      <c r="DL18" s="67"/>
      <c r="DM18" s="67"/>
      <c r="DN18" s="67"/>
      <c r="DO18" s="67"/>
      <c r="DP18" s="67"/>
      <c r="DQ18" s="67"/>
      <c r="DR18" s="67"/>
      <c r="DS18" s="67"/>
      <c r="DT18" s="67"/>
      <c r="DU18" s="67"/>
      <c r="DV18" s="67"/>
      <c r="DW18" s="67"/>
      <c r="DX18" s="67"/>
      <c r="DY18" s="67"/>
      <c r="DZ18" s="67"/>
      <c r="EA18" s="67"/>
      <c r="EB18" s="67"/>
      <c r="EC18" s="67"/>
      <c r="ED18" s="67"/>
      <c r="EE18" s="67"/>
      <c r="EF18" s="67"/>
      <c r="EG18" s="67"/>
      <c r="EH18" s="67"/>
      <c r="EI18" s="67"/>
      <c r="EJ18" s="67"/>
      <c r="EK18" s="67"/>
      <c r="EL18" s="67"/>
      <c r="EM18" s="67"/>
      <c r="EN18" s="67"/>
      <c r="EO18" s="67"/>
      <c r="EP18" s="67"/>
      <c r="EQ18" s="67"/>
      <c r="ER18" s="67"/>
      <c r="ES18" s="67"/>
      <c r="ET18" s="67"/>
      <c r="EU18" s="67"/>
      <c r="EV18" s="67"/>
      <c r="EW18" s="67"/>
      <c r="EX18" s="67"/>
      <c r="EY18" s="67"/>
      <c r="EZ18" s="67"/>
      <c r="FA18" s="67"/>
      <c r="FB18" s="67"/>
      <c r="FC18" s="67"/>
      <c r="FD18" s="67"/>
      <c r="FE18" s="67"/>
      <c r="FF18" s="67"/>
      <c r="FG18" s="67"/>
      <c r="FH18" s="67"/>
      <c r="FI18" s="67"/>
      <c r="FJ18" s="67"/>
      <c r="FK18" s="67"/>
      <c r="FL18" s="67"/>
      <c r="FM18" s="67"/>
      <c r="FN18" s="67"/>
      <c r="FO18" s="67"/>
      <c r="FP18" s="67"/>
      <c r="FQ18" s="67"/>
      <c r="FR18" s="67"/>
      <c r="FS18" s="67"/>
      <c r="FT18" s="67"/>
      <c r="FU18" s="67"/>
      <c r="FV18" s="67"/>
      <c r="FW18" s="67"/>
      <c r="FX18" s="67"/>
      <c r="FY18" s="67"/>
      <c r="FZ18" s="67"/>
      <c r="GA18" s="67"/>
      <c r="GB18" s="67"/>
      <c r="GC18" s="67"/>
      <c r="GD18" s="67"/>
      <c r="GE18" s="67"/>
      <c r="GF18" s="67"/>
      <c r="GG18" s="67"/>
      <c r="GH18" s="67"/>
      <c r="GI18" s="67"/>
      <c r="GJ18" s="67"/>
      <c r="GK18" s="67"/>
      <c r="GL18" s="67"/>
      <c r="GM18" s="67"/>
      <c r="GN18" s="67"/>
      <c r="GO18" s="67"/>
      <c r="GP18" s="67"/>
      <c r="GQ18" s="67"/>
      <c r="GR18" s="67"/>
      <c r="GS18" s="67"/>
      <c r="GT18" s="67"/>
      <c r="GU18" s="67"/>
      <c r="GV18" s="67"/>
      <c r="GW18" s="67"/>
      <c r="GX18" s="67"/>
      <c r="GY18" s="67"/>
      <c r="GZ18" s="67"/>
      <c r="HA18" s="67"/>
      <c r="HB18" s="67"/>
      <c r="HC18" s="67"/>
      <c r="HD18" s="67"/>
      <c r="HE18" s="67"/>
      <c r="HF18" s="67"/>
      <c r="HG18" s="67"/>
      <c r="HH18" s="67"/>
      <c r="HI18" s="67"/>
      <c r="HJ18" s="67"/>
      <c r="HK18" s="67"/>
      <c r="HL18" s="67"/>
      <c r="HM18" s="67"/>
      <c r="HN18" s="67"/>
      <c r="HO18" s="67"/>
      <c r="HP18" s="67"/>
      <c r="HQ18" s="67"/>
      <c r="HR18" s="67"/>
      <c r="HS18" s="67"/>
      <c r="HT18" s="67"/>
      <c r="HU18" s="67"/>
      <c r="HV18" s="67"/>
      <c r="HW18" s="67"/>
      <c r="HX18" s="67"/>
      <c r="HY18" s="67"/>
      <c r="HZ18" s="67"/>
      <c r="IA18" s="67"/>
      <c r="IB18" s="67"/>
      <c r="IC18" s="67"/>
      <c r="ID18" s="67"/>
      <c r="IE18" s="67"/>
      <c r="IF18" s="67"/>
      <c r="IG18" s="67"/>
      <c r="IH18" s="67"/>
      <c r="II18" s="67"/>
      <c r="IJ18" s="67"/>
      <c r="IK18" s="67"/>
      <c r="IL18" s="67"/>
      <c r="IM18" s="67"/>
      <c r="IN18" s="67"/>
      <c r="IO18" s="67"/>
      <c r="IP18" s="67"/>
      <c r="IQ18" s="67"/>
      <c r="IR18" s="67"/>
      <c r="IS18" s="67"/>
      <c r="IT18" s="67"/>
      <c r="IU18" s="67"/>
      <c r="IV18" s="67"/>
    </row>
    <row r="19" spans="1:256" x14ac:dyDescent="0.2">
      <c r="A19" s="97" t="str">
        <f ca="1">Database!E15</f>
        <v>RJ45 copper 100BASE-TX for configuration only</v>
      </c>
      <c r="B19" s="96"/>
      <c r="C19" s="96"/>
      <c r="D19" s="96"/>
      <c r="E19" s="74"/>
      <c r="F19" s="74"/>
      <c r="G19" s="74"/>
      <c r="H19" s="72" t="str">
        <f ca="1">Database!F15</f>
        <v>C</v>
      </c>
      <c r="I19" s="61"/>
      <c r="J19" s="62"/>
      <c r="K19" s="63"/>
      <c r="L19" s="61"/>
      <c r="M19" s="109"/>
      <c r="N19" s="63"/>
      <c r="O19" s="61"/>
      <c r="P19" s="110"/>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c r="BX19" s="67"/>
      <c r="BY19" s="67"/>
      <c r="BZ19" s="67"/>
      <c r="CA19" s="67"/>
      <c r="CB19" s="67"/>
      <c r="CC19" s="67"/>
      <c r="CD19" s="67"/>
      <c r="CE19" s="67"/>
      <c r="CF19" s="67"/>
      <c r="CG19" s="67"/>
      <c r="CH19" s="67"/>
      <c r="CI19" s="67"/>
      <c r="CJ19" s="67"/>
      <c r="CK19" s="67"/>
      <c r="CL19" s="67"/>
      <c r="CM19" s="67"/>
      <c r="CN19" s="67"/>
      <c r="CO19" s="67"/>
      <c r="CP19" s="67"/>
      <c r="CQ19" s="67"/>
      <c r="CR19" s="67"/>
      <c r="CS19" s="67"/>
      <c r="CT19" s="67"/>
      <c r="CU19" s="67"/>
      <c r="CV19" s="67"/>
      <c r="CW19" s="67"/>
      <c r="CX19" s="67"/>
      <c r="CY19" s="67"/>
      <c r="CZ19" s="67"/>
      <c r="DA19" s="67"/>
      <c r="DB19" s="67"/>
      <c r="DC19" s="67"/>
      <c r="DD19" s="67"/>
      <c r="DE19" s="67"/>
      <c r="DF19" s="67"/>
      <c r="DG19" s="67"/>
      <c r="DH19" s="67"/>
      <c r="DI19" s="67"/>
      <c r="DJ19" s="67"/>
      <c r="DK19" s="67"/>
      <c r="DL19" s="67"/>
      <c r="DM19" s="67"/>
      <c r="DN19" s="67"/>
      <c r="DO19" s="67"/>
      <c r="DP19" s="67"/>
      <c r="DQ19" s="67"/>
      <c r="DR19" s="67"/>
      <c r="DS19" s="67"/>
      <c r="DT19" s="67"/>
      <c r="DU19" s="67"/>
      <c r="DV19" s="67"/>
      <c r="DW19" s="67"/>
      <c r="DX19" s="67"/>
      <c r="DY19" s="67"/>
      <c r="DZ19" s="67"/>
      <c r="EA19" s="67"/>
      <c r="EB19" s="67"/>
      <c r="EC19" s="67"/>
      <c r="ED19" s="67"/>
      <c r="EE19" s="67"/>
      <c r="EF19" s="67"/>
      <c r="EG19" s="67"/>
      <c r="EH19" s="67"/>
      <c r="EI19" s="67"/>
      <c r="EJ19" s="67"/>
      <c r="EK19" s="67"/>
      <c r="EL19" s="67"/>
      <c r="EM19" s="67"/>
      <c r="EN19" s="67"/>
      <c r="EO19" s="67"/>
      <c r="EP19" s="67"/>
      <c r="EQ19" s="67"/>
      <c r="ER19" s="67"/>
      <c r="ES19" s="67"/>
      <c r="ET19" s="67"/>
      <c r="EU19" s="67"/>
      <c r="EV19" s="67"/>
      <c r="EW19" s="67"/>
      <c r="EX19" s="67"/>
      <c r="EY19" s="67"/>
      <c r="EZ19" s="67"/>
      <c r="FA19" s="67"/>
      <c r="FB19" s="67"/>
      <c r="FC19" s="67"/>
      <c r="FD19" s="67"/>
      <c r="FE19" s="67"/>
      <c r="FF19" s="67"/>
      <c r="FG19" s="67"/>
      <c r="FH19" s="67"/>
      <c r="FI19" s="67"/>
      <c r="FJ19" s="67"/>
      <c r="FK19" s="67"/>
      <c r="FL19" s="67"/>
      <c r="FM19" s="67"/>
      <c r="FN19" s="67"/>
      <c r="FO19" s="67"/>
      <c r="FP19" s="67"/>
      <c r="FQ19" s="67"/>
      <c r="FR19" s="67"/>
      <c r="FS19" s="67"/>
      <c r="FT19" s="67"/>
      <c r="FU19" s="67"/>
      <c r="FV19" s="67"/>
      <c r="FW19" s="67"/>
      <c r="FX19" s="67"/>
      <c r="FY19" s="67"/>
      <c r="FZ19" s="67"/>
      <c r="GA19" s="67"/>
      <c r="GB19" s="67"/>
      <c r="GC19" s="67"/>
      <c r="GD19" s="67"/>
      <c r="GE19" s="67"/>
      <c r="GF19" s="67"/>
      <c r="GG19" s="67"/>
      <c r="GH19" s="67"/>
      <c r="GI19" s="67"/>
      <c r="GJ19" s="67"/>
      <c r="GK19" s="67"/>
      <c r="GL19" s="67"/>
      <c r="GM19" s="67"/>
      <c r="GN19" s="67"/>
      <c r="GO19" s="67"/>
      <c r="GP19" s="67"/>
      <c r="GQ19" s="67"/>
      <c r="GR19" s="67"/>
      <c r="GS19" s="67"/>
      <c r="GT19" s="67"/>
      <c r="GU19" s="67"/>
      <c r="GV19" s="67"/>
      <c r="GW19" s="67"/>
      <c r="GX19" s="67"/>
      <c r="GY19" s="67"/>
      <c r="GZ19" s="67"/>
      <c r="HA19" s="67"/>
      <c r="HB19" s="67"/>
      <c r="HC19" s="67"/>
      <c r="HD19" s="67"/>
      <c r="HE19" s="67"/>
      <c r="HF19" s="67"/>
      <c r="HG19" s="67"/>
      <c r="HH19" s="67"/>
      <c r="HI19" s="67"/>
      <c r="HJ19" s="67"/>
      <c r="HK19" s="67"/>
      <c r="HL19" s="67"/>
      <c r="HM19" s="67"/>
      <c r="HN19" s="67"/>
      <c r="HO19" s="67"/>
      <c r="HP19" s="67"/>
      <c r="HQ19" s="67"/>
      <c r="HR19" s="67"/>
      <c r="HS19" s="67"/>
      <c r="HT19" s="67"/>
      <c r="HU19" s="67"/>
      <c r="HV19" s="67"/>
      <c r="HW19" s="67"/>
      <c r="HX19" s="67"/>
      <c r="HY19" s="67"/>
      <c r="HZ19" s="67"/>
      <c r="IA19" s="67"/>
      <c r="IB19" s="67"/>
      <c r="IC19" s="67"/>
      <c r="ID19" s="67"/>
      <c r="IE19" s="67"/>
      <c r="IF19" s="67"/>
      <c r="IG19" s="67"/>
      <c r="IH19" s="67"/>
      <c r="II19" s="67"/>
      <c r="IJ19" s="67"/>
      <c r="IK19" s="67"/>
      <c r="IL19" s="67"/>
      <c r="IM19" s="67"/>
      <c r="IN19" s="67"/>
      <c r="IO19" s="67"/>
      <c r="IP19" s="67"/>
      <c r="IQ19" s="67"/>
      <c r="IR19" s="67"/>
      <c r="IS19" s="67"/>
      <c r="IT19" s="67"/>
      <c r="IU19" s="67"/>
      <c r="IV19" s="67"/>
    </row>
    <row r="20" spans="1:256" x14ac:dyDescent="0.2">
      <c r="A20" s="97" t="str">
        <f ca="1">Database!E16</f>
        <v>RJ45 copper 100BASE-TX for NTP server and configuration</v>
      </c>
      <c r="B20" s="96"/>
      <c r="C20" s="96"/>
      <c r="D20" s="96"/>
      <c r="E20" s="74"/>
      <c r="F20" s="74"/>
      <c r="G20" s="74"/>
      <c r="H20" s="72" t="str">
        <f ca="1">Database!F16</f>
        <v>N</v>
      </c>
      <c r="I20" s="61"/>
      <c r="J20" s="62"/>
      <c r="K20" s="63"/>
      <c r="L20" s="61"/>
      <c r="M20" s="109"/>
      <c r="N20" s="63"/>
      <c r="O20" s="61"/>
      <c r="P20" s="110"/>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c r="CW20" s="67"/>
      <c r="CX20" s="67"/>
      <c r="CY20" s="67"/>
      <c r="CZ20" s="67"/>
      <c r="DA20" s="67"/>
      <c r="DB20" s="67"/>
      <c r="DC20" s="67"/>
      <c r="DD20" s="67"/>
      <c r="DE20" s="67"/>
      <c r="DF20" s="67"/>
      <c r="DG20" s="67"/>
      <c r="DH20" s="67"/>
      <c r="DI20" s="67"/>
      <c r="DJ20" s="67"/>
      <c r="DK20" s="67"/>
      <c r="DL20" s="67"/>
      <c r="DM20" s="67"/>
      <c r="DN20" s="67"/>
      <c r="DO20" s="67"/>
      <c r="DP20" s="67"/>
      <c r="DQ20" s="67"/>
      <c r="DR20" s="67"/>
      <c r="DS20" s="67"/>
      <c r="DT20" s="67"/>
      <c r="DU20" s="67"/>
      <c r="DV20" s="67"/>
      <c r="DW20" s="67"/>
      <c r="DX20" s="67"/>
      <c r="DY20" s="67"/>
      <c r="DZ20" s="67"/>
      <c r="EA20" s="67"/>
      <c r="EB20" s="67"/>
      <c r="EC20" s="67"/>
      <c r="ED20" s="67"/>
      <c r="EE20" s="67"/>
      <c r="EF20" s="67"/>
      <c r="EG20" s="67"/>
      <c r="EH20" s="67"/>
      <c r="EI20" s="67"/>
      <c r="EJ20" s="67"/>
      <c r="EK20" s="67"/>
      <c r="EL20" s="67"/>
      <c r="EM20" s="67"/>
      <c r="EN20" s="67"/>
      <c r="EO20" s="67"/>
      <c r="EP20" s="67"/>
      <c r="EQ20" s="67"/>
      <c r="ER20" s="67"/>
      <c r="ES20" s="67"/>
      <c r="ET20" s="67"/>
      <c r="EU20" s="67"/>
      <c r="EV20" s="67"/>
      <c r="EW20" s="67"/>
      <c r="EX20" s="67"/>
      <c r="EY20" s="67"/>
      <c r="EZ20" s="67"/>
      <c r="FA20" s="67"/>
      <c r="FB20" s="67"/>
      <c r="FC20" s="67"/>
      <c r="FD20" s="67"/>
      <c r="FE20" s="67"/>
      <c r="FF20" s="67"/>
      <c r="FG20" s="67"/>
      <c r="FH20" s="67"/>
      <c r="FI20" s="67"/>
      <c r="FJ20" s="67"/>
      <c r="FK20" s="67"/>
      <c r="FL20" s="67"/>
      <c r="FM20" s="67"/>
      <c r="FN20" s="67"/>
      <c r="FO20" s="67"/>
      <c r="FP20" s="67"/>
      <c r="FQ20" s="67"/>
      <c r="FR20" s="67"/>
      <c r="FS20" s="67"/>
      <c r="FT20" s="67"/>
      <c r="FU20" s="67"/>
      <c r="FV20" s="67"/>
      <c r="FW20" s="67"/>
      <c r="FX20" s="67"/>
      <c r="FY20" s="67"/>
      <c r="FZ20" s="67"/>
      <c r="GA20" s="67"/>
      <c r="GB20" s="67"/>
      <c r="GC20" s="67"/>
      <c r="GD20" s="67"/>
      <c r="GE20" s="67"/>
      <c r="GF20" s="67"/>
      <c r="GG20" s="67"/>
      <c r="GH20" s="67"/>
      <c r="GI20" s="67"/>
      <c r="GJ20" s="67"/>
      <c r="GK20" s="67"/>
      <c r="GL20" s="67"/>
      <c r="GM20" s="67"/>
      <c r="GN20" s="67"/>
      <c r="GO20" s="67"/>
      <c r="GP20" s="67"/>
      <c r="GQ20" s="67"/>
      <c r="GR20" s="67"/>
      <c r="GS20" s="67"/>
      <c r="GT20" s="67"/>
      <c r="GU20" s="67"/>
      <c r="GV20" s="67"/>
      <c r="GW20" s="67"/>
      <c r="GX20" s="67"/>
      <c r="GY20" s="67"/>
      <c r="GZ20" s="67"/>
      <c r="HA20" s="67"/>
      <c r="HB20" s="67"/>
      <c r="HC20" s="67"/>
      <c r="HD20" s="67"/>
      <c r="HE20" s="67"/>
      <c r="HF20" s="67"/>
      <c r="HG20" s="67"/>
      <c r="HH20" s="67"/>
      <c r="HI20" s="67"/>
      <c r="HJ20" s="67"/>
      <c r="HK20" s="67"/>
      <c r="HL20" s="67"/>
      <c r="HM20" s="67"/>
      <c r="HN20" s="67"/>
      <c r="HO20" s="67"/>
      <c r="HP20" s="67"/>
      <c r="HQ20" s="67"/>
      <c r="HR20" s="67"/>
      <c r="HS20" s="67"/>
      <c r="HT20" s="67"/>
      <c r="HU20" s="67"/>
      <c r="HV20" s="67"/>
      <c r="HW20" s="67"/>
      <c r="HX20" s="67"/>
      <c r="HY20" s="67"/>
      <c r="HZ20" s="67"/>
      <c r="IA20" s="67"/>
      <c r="IB20" s="67"/>
      <c r="IC20" s="67"/>
      <c r="ID20" s="67"/>
      <c r="IE20" s="67"/>
      <c r="IF20" s="67"/>
      <c r="IG20" s="67"/>
      <c r="IH20" s="67"/>
      <c r="II20" s="67"/>
      <c r="IJ20" s="67"/>
      <c r="IK20" s="67"/>
      <c r="IL20" s="67"/>
      <c r="IM20" s="67"/>
      <c r="IN20" s="67"/>
      <c r="IO20" s="67"/>
      <c r="IP20" s="67"/>
      <c r="IQ20" s="67"/>
      <c r="IR20" s="67"/>
      <c r="IS20" s="67"/>
      <c r="IT20" s="67"/>
      <c r="IU20" s="67"/>
      <c r="IV20" s="67"/>
    </row>
    <row r="21" spans="1:256" x14ac:dyDescent="0.2">
      <c r="A21" s="97" t="str">
        <f ca="1">Database!E17</f>
        <v>RJ45 copper 100BASE-TX for PTP (IEEE 1588) server, NTP server and configuration</v>
      </c>
      <c r="B21" s="96"/>
      <c r="C21" s="96"/>
      <c r="D21" s="96"/>
      <c r="E21" s="74"/>
      <c r="F21" s="74"/>
      <c r="G21" s="74"/>
      <c r="H21" s="72" t="str">
        <f ca="1">Database!F17</f>
        <v>P</v>
      </c>
      <c r="I21" s="61"/>
      <c r="J21" s="62"/>
      <c r="K21" s="63"/>
      <c r="L21" s="61"/>
      <c r="M21" s="109"/>
      <c r="N21" s="63"/>
      <c r="O21" s="61"/>
      <c r="P21" s="110"/>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c r="CS21" s="67"/>
      <c r="CT21" s="67"/>
      <c r="CU21" s="67"/>
      <c r="CV21" s="67"/>
      <c r="CW21" s="67"/>
      <c r="CX21" s="67"/>
      <c r="CY21" s="67"/>
      <c r="CZ21" s="67"/>
      <c r="DA21" s="67"/>
      <c r="DB21" s="67"/>
      <c r="DC21" s="67"/>
      <c r="DD21" s="67"/>
      <c r="DE21" s="67"/>
      <c r="DF21" s="67"/>
      <c r="DG21" s="67"/>
      <c r="DH21" s="67"/>
      <c r="DI21" s="67"/>
      <c r="DJ21" s="67"/>
      <c r="DK21" s="67"/>
      <c r="DL21" s="67"/>
      <c r="DM21" s="67"/>
      <c r="DN21" s="67"/>
      <c r="DO21" s="67"/>
      <c r="DP21" s="67"/>
      <c r="DQ21" s="67"/>
      <c r="DR21" s="67"/>
      <c r="DS21" s="67"/>
      <c r="DT21" s="67"/>
      <c r="DU21" s="67"/>
      <c r="DV21" s="67"/>
      <c r="DW21" s="67"/>
      <c r="DX21" s="67"/>
      <c r="DY21" s="67"/>
      <c r="DZ21" s="67"/>
      <c r="EA21" s="67"/>
      <c r="EB21" s="67"/>
      <c r="EC21" s="67"/>
      <c r="ED21" s="67"/>
      <c r="EE21" s="67"/>
      <c r="EF21" s="67"/>
      <c r="EG21" s="67"/>
      <c r="EH21" s="67"/>
      <c r="EI21" s="67"/>
      <c r="EJ21" s="67"/>
      <c r="EK21" s="67"/>
      <c r="EL21" s="67"/>
      <c r="EM21" s="67"/>
      <c r="EN21" s="67"/>
      <c r="EO21" s="67"/>
      <c r="EP21" s="67"/>
      <c r="EQ21" s="67"/>
      <c r="ER21" s="67"/>
      <c r="ES21" s="67"/>
      <c r="ET21" s="67"/>
      <c r="EU21" s="67"/>
      <c r="EV21" s="67"/>
      <c r="EW21" s="67"/>
      <c r="EX21" s="67"/>
      <c r="EY21" s="67"/>
      <c r="EZ21" s="67"/>
      <c r="FA21" s="67"/>
      <c r="FB21" s="67"/>
      <c r="FC21" s="67"/>
      <c r="FD21" s="67"/>
      <c r="FE21" s="67"/>
      <c r="FF21" s="67"/>
      <c r="FG21" s="67"/>
      <c r="FH21" s="67"/>
      <c r="FI21" s="67"/>
      <c r="FJ21" s="67"/>
      <c r="FK21" s="67"/>
      <c r="FL21" s="67"/>
      <c r="FM21" s="67"/>
      <c r="FN21" s="67"/>
      <c r="FO21" s="67"/>
      <c r="FP21" s="67"/>
      <c r="FQ21" s="67"/>
      <c r="FR21" s="67"/>
      <c r="FS21" s="67"/>
      <c r="FT21" s="67"/>
      <c r="FU21" s="67"/>
      <c r="FV21" s="67"/>
      <c r="FW21" s="67"/>
      <c r="FX21" s="67"/>
      <c r="FY21" s="67"/>
      <c r="FZ21" s="67"/>
      <c r="GA21" s="67"/>
      <c r="GB21" s="67"/>
      <c r="GC21" s="67"/>
      <c r="GD21" s="67"/>
      <c r="GE21" s="67"/>
      <c r="GF21" s="67"/>
      <c r="GG21" s="67"/>
      <c r="GH21" s="67"/>
      <c r="GI21" s="67"/>
      <c r="GJ21" s="67"/>
      <c r="GK21" s="67"/>
      <c r="GL21" s="67"/>
      <c r="GM21" s="67"/>
      <c r="GN21" s="67"/>
      <c r="GO21" s="67"/>
      <c r="GP21" s="67"/>
      <c r="GQ21" s="67"/>
      <c r="GR21" s="67"/>
      <c r="GS21" s="67"/>
      <c r="GT21" s="67"/>
      <c r="GU21" s="67"/>
      <c r="GV21" s="67"/>
      <c r="GW21" s="67"/>
      <c r="GX21" s="67"/>
      <c r="GY21" s="67"/>
      <c r="GZ21" s="67"/>
      <c r="HA21" s="67"/>
      <c r="HB21" s="67"/>
      <c r="HC21" s="67"/>
      <c r="HD21" s="67"/>
      <c r="HE21" s="67"/>
      <c r="HF21" s="67"/>
      <c r="HG21" s="67"/>
      <c r="HH21" s="67"/>
      <c r="HI21" s="67"/>
      <c r="HJ21" s="67"/>
      <c r="HK21" s="67"/>
      <c r="HL21" s="67"/>
      <c r="HM21" s="67"/>
      <c r="HN21" s="67"/>
      <c r="HO21" s="67"/>
      <c r="HP21" s="67"/>
      <c r="HQ21" s="67"/>
      <c r="HR21" s="67"/>
      <c r="HS21" s="67"/>
      <c r="HT21" s="67"/>
      <c r="HU21" s="67"/>
      <c r="HV21" s="67"/>
      <c r="HW21" s="67"/>
      <c r="HX21" s="67"/>
      <c r="HY21" s="67"/>
      <c r="HZ21" s="67"/>
      <c r="IA21" s="67"/>
      <c r="IB21" s="67"/>
      <c r="IC21" s="67"/>
      <c r="ID21" s="67"/>
      <c r="IE21" s="67"/>
      <c r="IF21" s="67"/>
      <c r="IG21" s="67"/>
      <c r="IH21" s="67"/>
      <c r="II21" s="67"/>
      <c r="IJ21" s="67"/>
      <c r="IK21" s="67"/>
      <c r="IL21" s="67"/>
      <c r="IM21" s="67"/>
      <c r="IN21" s="67"/>
      <c r="IO21" s="67"/>
      <c r="IP21" s="67"/>
      <c r="IQ21" s="67"/>
      <c r="IR21" s="67"/>
      <c r="IS21" s="67"/>
      <c r="IT21" s="67"/>
      <c r="IU21" s="67"/>
      <c r="IV21" s="67"/>
    </row>
    <row r="22" spans="1:256" x14ac:dyDescent="0.2">
      <c r="A22" s="98"/>
      <c r="B22" s="96"/>
      <c r="C22" s="96"/>
      <c r="D22" s="99"/>
      <c r="E22" s="73"/>
      <c r="F22" s="73"/>
      <c r="G22" s="73"/>
      <c r="H22" s="73"/>
      <c r="I22" s="61"/>
      <c r="J22" s="62"/>
      <c r="K22" s="63"/>
      <c r="L22" s="61"/>
      <c r="M22" s="109"/>
      <c r="N22" s="63"/>
      <c r="O22" s="61"/>
      <c r="P22" s="110"/>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7"/>
      <c r="CB22" s="67"/>
      <c r="CC22" s="67"/>
      <c r="CD22" s="67"/>
      <c r="CE22" s="67"/>
      <c r="CF22" s="67"/>
      <c r="CG22" s="67"/>
      <c r="CH22" s="67"/>
      <c r="CI22" s="67"/>
      <c r="CJ22" s="67"/>
      <c r="CK22" s="67"/>
      <c r="CL22" s="67"/>
      <c r="CM22" s="67"/>
      <c r="CN22" s="67"/>
      <c r="CO22" s="67"/>
      <c r="CP22" s="67"/>
      <c r="CQ22" s="67"/>
      <c r="CR22" s="67"/>
      <c r="CS22" s="67"/>
      <c r="CT22" s="67"/>
      <c r="CU22" s="67"/>
      <c r="CV22" s="67"/>
      <c r="CW22" s="67"/>
      <c r="CX22" s="67"/>
      <c r="CY22" s="67"/>
      <c r="CZ22" s="67"/>
      <c r="DA22" s="67"/>
      <c r="DB22" s="67"/>
      <c r="DC22" s="67"/>
      <c r="DD22" s="67"/>
      <c r="DE22" s="67"/>
      <c r="DF22" s="67"/>
      <c r="DG22" s="67"/>
      <c r="DH22" s="67"/>
      <c r="DI22" s="67"/>
      <c r="DJ22" s="67"/>
      <c r="DK22" s="67"/>
      <c r="DL22" s="67"/>
      <c r="DM22" s="67"/>
      <c r="DN22" s="67"/>
      <c r="DO22" s="67"/>
      <c r="DP22" s="67"/>
      <c r="DQ22" s="67"/>
      <c r="DR22" s="67"/>
      <c r="DS22" s="67"/>
      <c r="DT22" s="67"/>
      <c r="DU22" s="67"/>
      <c r="DV22" s="67"/>
      <c r="DW22" s="67"/>
      <c r="DX22" s="67"/>
      <c r="DY22" s="67"/>
      <c r="DZ22" s="67"/>
      <c r="EA22" s="67"/>
      <c r="EB22" s="67"/>
      <c r="EC22" s="67"/>
      <c r="ED22" s="67"/>
      <c r="EE22" s="67"/>
      <c r="EF22" s="67"/>
      <c r="EG22" s="67"/>
      <c r="EH22" s="67"/>
      <c r="EI22" s="67"/>
      <c r="EJ22" s="67"/>
      <c r="EK22" s="67"/>
      <c r="EL22" s="67"/>
      <c r="EM22" s="67"/>
      <c r="EN22" s="67"/>
      <c r="EO22" s="67"/>
      <c r="EP22" s="67"/>
      <c r="EQ22" s="67"/>
      <c r="ER22" s="67"/>
      <c r="ES22" s="67"/>
      <c r="ET22" s="67"/>
      <c r="EU22" s="67"/>
      <c r="EV22" s="67"/>
      <c r="EW22" s="67"/>
      <c r="EX22" s="67"/>
      <c r="EY22" s="67"/>
      <c r="EZ22" s="67"/>
      <c r="FA22" s="67"/>
      <c r="FB22" s="67"/>
      <c r="FC22" s="67"/>
      <c r="FD22" s="67"/>
      <c r="FE22" s="67"/>
      <c r="FF22" s="67"/>
      <c r="FG22" s="67"/>
      <c r="FH22" s="67"/>
      <c r="FI22" s="67"/>
      <c r="FJ22" s="67"/>
      <c r="FK22" s="67"/>
      <c r="FL22" s="67"/>
      <c r="FM22" s="67"/>
      <c r="FN22" s="67"/>
      <c r="FO22" s="67"/>
      <c r="FP22" s="67"/>
      <c r="FQ22" s="67"/>
      <c r="FR22" s="67"/>
      <c r="FS22" s="67"/>
      <c r="FT22" s="67"/>
      <c r="FU22" s="67"/>
      <c r="FV22" s="67"/>
      <c r="FW22" s="67"/>
      <c r="FX22" s="67"/>
      <c r="FY22" s="67"/>
      <c r="FZ22" s="67"/>
      <c r="GA22" s="67"/>
      <c r="GB22" s="67"/>
      <c r="GC22" s="67"/>
      <c r="GD22" s="67"/>
      <c r="GE22" s="67"/>
      <c r="GF22" s="67"/>
      <c r="GG22" s="67"/>
      <c r="GH22" s="67"/>
      <c r="GI22" s="67"/>
      <c r="GJ22" s="67"/>
      <c r="GK22" s="67"/>
      <c r="GL22" s="67"/>
      <c r="GM22" s="67"/>
      <c r="GN22" s="67"/>
      <c r="GO22" s="67"/>
      <c r="GP22" s="67"/>
      <c r="GQ22" s="67"/>
      <c r="GR22" s="67"/>
      <c r="GS22" s="67"/>
      <c r="GT22" s="67"/>
      <c r="GU22" s="67"/>
      <c r="GV22" s="67"/>
      <c r="GW22" s="67"/>
      <c r="GX22" s="67"/>
      <c r="GY22" s="67"/>
      <c r="GZ22" s="67"/>
      <c r="HA22" s="67"/>
      <c r="HB22" s="67"/>
      <c r="HC22" s="67"/>
      <c r="HD22" s="67"/>
      <c r="HE22" s="67"/>
      <c r="HF22" s="67"/>
      <c r="HG22" s="67"/>
      <c r="HH22" s="67"/>
      <c r="HI22" s="67"/>
      <c r="HJ22" s="67"/>
      <c r="HK22" s="67"/>
      <c r="HL22" s="67"/>
      <c r="HM22" s="67"/>
      <c r="HN22" s="67"/>
      <c r="HO22" s="67"/>
      <c r="HP22" s="67"/>
      <c r="HQ22" s="67"/>
      <c r="HR22" s="67"/>
      <c r="HS22" s="67"/>
      <c r="HT22" s="67"/>
      <c r="HU22" s="67"/>
      <c r="HV22" s="67"/>
      <c r="HW22" s="67"/>
      <c r="HX22" s="67"/>
      <c r="HY22" s="67"/>
      <c r="HZ22" s="67"/>
      <c r="IA22" s="67"/>
      <c r="IB22" s="67"/>
      <c r="IC22" s="67"/>
      <c r="ID22" s="67"/>
      <c r="IE22" s="67"/>
      <c r="IF22" s="67"/>
      <c r="IG22" s="67"/>
      <c r="IH22" s="67"/>
      <c r="II22" s="67"/>
      <c r="IJ22" s="67"/>
      <c r="IK22" s="67"/>
      <c r="IL22" s="67"/>
      <c r="IM22" s="67"/>
      <c r="IN22" s="67"/>
      <c r="IO22" s="67"/>
      <c r="IP22" s="67"/>
      <c r="IQ22" s="67"/>
      <c r="IR22" s="67"/>
      <c r="IS22" s="67"/>
      <c r="IT22" s="67"/>
      <c r="IU22" s="67"/>
      <c r="IV22" s="67"/>
    </row>
    <row r="23" spans="1:256" x14ac:dyDescent="0.2">
      <c r="A23" s="95" t="str">
        <f>'Date Drivers'!B17</f>
        <v>Ethernet Interface 3 and 4</v>
      </c>
      <c r="B23" s="160"/>
      <c r="C23" s="100"/>
      <c r="D23" s="96"/>
      <c r="E23" s="74"/>
      <c r="F23" s="74"/>
      <c r="G23" s="74"/>
      <c r="H23" s="74"/>
      <c r="I23" s="61"/>
      <c r="J23" s="62"/>
      <c r="K23" s="63"/>
      <c r="L23" s="61"/>
      <c r="M23" s="109"/>
      <c r="N23" s="63"/>
      <c r="O23" s="61"/>
      <c r="P23" s="110"/>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c r="BZ23" s="67"/>
      <c r="CA23" s="67"/>
      <c r="CB23" s="67"/>
      <c r="CC23" s="67"/>
      <c r="CD23" s="67"/>
      <c r="CE23" s="67"/>
      <c r="CF23" s="67"/>
      <c r="CG23" s="67"/>
      <c r="CH23" s="67"/>
      <c r="CI23" s="67"/>
      <c r="CJ23" s="67"/>
      <c r="CK23" s="67"/>
      <c r="CL23" s="67"/>
      <c r="CM23" s="67"/>
      <c r="CN23" s="67"/>
      <c r="CO23" s="67"/>
      <c r="CP23" s="67"/>
      <c r="CQ23" s="67"/>
      <c r="CR23" s="67"/>
      <c r="CS23" s="67"/>
      <c r="CT23" s="67"/>
      <c r="CU23" s="67"/>
      <c r="CV23" s="67"/>
      <c r="CW23" s="67"/>
      <c r="CX23" s="67"/>
      <c r="CY23" s="67"/>
      <c r="CZ23" s="67"/>
      <c r="DA23" s="67"/>
      <c r="DB23" s="67"/>
      <c r="DC23" s="67"/>
      <c r="DD23" s="67"/>
      <c r="DE23" s="67"/>
      <c r="DF23" s="67"/>
      <c r="DG23" s="67"/>
      <c r="DH23" s="67"/>
      <c r="DI23" s="67"/>
      <c r="DJ23" s="67"/>
      <c r="DK23" s="67"/>
      <c r="DL23" s="67"/>
      <c r="DM23" s="67"/>
      <c r="DN23" s="67"/>
      <c r="DO23" s="67"/>
      <c r="DP23" s="67"/>
      <c r="DQ23" s="67"/>
      <c r="DR23" s="67"/>
      <c r="DS23" s="67"/>
      <c r="DT23" s="67"/>
      <c r="DU23" s="67"/>
      <c r="DV23" s="67"/>
      <c r="DW23" s="67"/>
      <c r="DX23" s="67"/>
      <c r="DY23" s="67"/>
      <c r="DZ23" s="67"/>
      <c r="EA23" s="67"/>
      <c r="EB23" s="67"/>
      <c r="EC23" s="67"/>
      <c r="ED23" s="67"/>
      <c r="EE23" s="67"/>
      <c r="EF23" s="67"/>
      <c r="EG23" s="67"/>
      <c r="EH23" s="67"/>
      <c r="EI23" s="67"/>
      <c r="EJ23" s="67"/>
      <c r="EK23" s="67"/>
      <c r="EL23" s="67"/>
      <c r="EM23" s="67"/>
      <c r="EN23" s="67"/>
      <c r="EO23" s="67"/>
      <c r="EP23" s="67"/>
      <c r="EQ23" s="67"/>
      <c r="ER23" s="67"/>
      <c r="ES23" s="67"/>
      <c r="ET23" s="67"/>
      <c r="EU23" s="67"/>
      <c r="EV23" s="67"/>
      <c r="EW23" s="67"/>
      <c r="EX23" s="67"/>
      <c r="EY23" s="67"/>
      <c r="EZ23" s="67"/>
      <c r="FA23" s="67"/>
      <c r="FB23" s="67"/>
      <c r="FC23" s="67"/>
      <c r="FD23" s="67"/>
      <c r="FE23" s="67"/>
      <c r="FF23" s="67"/>
      <c r="FG23" s="67"/>
      <c r="FH23" s="67"/>
      <c r="FI23" s="67"/>
      <c r="FJ23" s="67"/>
      <c r="FK23" s="67"/>
      <c r="FL23" s="67"/>
      <c r="FM23" s="67"/>
      <c r="FN23" s="67"/>
      <c r="FO23" s="67"/>
      <c r="FP23" s="67"/>
      <c r="FQ23" s="67"/>
      <c r="FR23" s="67"/>
      <c r="FS23" s="67"/>
      <c r="FT23" s="67"/>
      <c r="FU23" s="67"/>
      <c r="FV23" s="67"/>
      <c r="FW23" s="67"/>
      <c r="FX23" s="67"/>
      <c r="FY23" s="67"/>
      <c r="FZ23" s="67"/>
      <c r="GA23" s="67"/>
      <c r="GB23" s="67"/>
      <c r="GC23" s="67"/>
      <c r="GD23" s="67"/>
      <c r="GE23" s="67"/>
      <c r="GF23" s="67"/>
      <c r="GG23" s="67"/>
      <c r="GH23" s="67"/>
      <c r="GI23" s="67"/>
      <c r="GJ23" s="67"/>
      <c r="GK23" s="67"/>
      <c r="GL23" s="67"/>
      <c r="GM23" s="67"/>
      <c r="GN23" s="67"/>
      <c r="GO23" s="67"/>
      <c r="GP23" s="67"/>
      <c r="GQ23" s="67"/>
      <c r="GR23" s="67"/>
      <c r="GS23" s="67"/>
      <c r="GT23" s="67"/>
      <c r="GU23" s="67"/>
      <c r="GV23" s="67"/>
      <c r="GW23" s="67"/>
      <c r="GX23" s="67"/>
      <c r="GY23" s="67"/>
      <c r="GZ23" s="67"/>
      <c r="HA23" s="67"/>
      <c r="HB23" s="67"/>
      <c r="HC23" s="67"/>
      <c r="HD23" s="67"/>
      <c r="HE23" s="67"/>
      <c r="HF23" s="67"/>
      <c r="HG23" s="67"/>
      <c r="HH23" s="67"/>
      <c r="HI23" s="67"/>
      <c r="HJ23" s="67"/>
      <c r="HK23" s="67"/>
      <c r="HL23" s="67"/>
      <c r="HM23" s="67"/>
      <c r="HN23" s="67"/>
      <c r="HO23" s="67"/>
      <c r="HP23" s="67"/>
      <c r="HQ23" s="67"/>
      <c r="HR23" s="67"/>
      <c r="HS23" s="67"/>
      <c r="HT23" s="67"/>
      <c r="HU23" s="67"/>
      <c r="HV23" s="67"/>
      <c r="HW23" s="67"/>
      <c r="HX23" s="67"/>
      <c r="HY23" s="67"/>
      <c r="HZ23" s="67"/>
      <c r="IA23" s="67"/>
      <c r="IB23" s="67"/>
      <c r="IC23" s="67"/>
      <c r="ID23" s="67"/>
      <c r="IE23" s="67"/>
      <c r="IF23" s="67"/>
      <c r="IG23" s="67"/>
      <c r="IH23" s="67"/>
      <c r="II23" s="67"/>
      <c r="IJ23" s="67"/>
      <c r="IK23" s="67"/>
      <c r="IL23" s="67"/>
      <c r="IM23" s="67"/>
      <c r="IN23" s="67"/>
      <c r="IO23" s="67"/>
      <c r="IP23" s="67"/>
      <c r="IQ23" s="67"/>
      <c r="IR23" s="67"/>
      <c r="IS23" s="67"/>
      <c r="IT23" s="67"/>
      <c r="IU23" s="67"/>
      <c r="IV23" s="67"/>
    </row>
    <row r="24" spans="1:256" x14ac:dyDescent="0.2">
      <c r="A24" s="97" t="str">
        <f ca="1">Database!E20</f>
        <v>RJ45 copper 100BASE-TX for configuration only</v>
      </c>
      <c r="B24" s="96"/>
      <c r="C24" s="96"/>
      <c r="D24" s="96"/>
      <c r="E24" s="74"/>
      <c r="F24" s="74"/>
      <c r="G24" s="74"/>
      <c r="H24" s="74"/>
      <c r="I24" s="72" t="str">
        <f ca="1">Database!F20</f>
        <v>C</v>
      </c>
      <c r="J24" s="62"/>
      <c r="K24" s="63"/>
      <c r="L24" s="61"/>
      <c r="M24" s="109"/>
      <c r="N24" s="63"/>
      <c r="O24" s="61"/>
      <c r="P24" s="110"/>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67"/>
      <c r="CO24" s="67"/>
      <c r="CP24" s="67"/>
      <c r="CQ24" s="67"/>
      <c r="CR24" s="67"/>
      <c r="CS24" s="67"/>
      <c r="CT24" s="67"/>
      <c r="CU24" s="67"/>
      <c r="CV24" s="67"/>
      <c r="CW24" s="67"/>
      <c r="CX24" s="67"/>
      <c r="CY24" s="67"/>
      <c r="CZ24" s="67"/>
      <c r="DA24" s="67"/>
      <c r="DB24" s="67"/>
      <c r="DC24" s="67"/>
      <c r="DD24" s="67"/>
      <c r="DE24" s="67"/>
      <c r="DF24" s="67"/>
      <c r="DG24" s="67"/>
      <c r="DH24" s="67"/>
      <c r="DI24" s="67"/>
      <c r="DJ24" s="67"/>
      <c r="DK24" s="67"/>
      <c r="DL24" s="67"/>
      <c r="DM24" s="67"/>
      <c r="DN24" s="67"/>
      <c r="DO24" s="67"/>
      <c r="DP24" s="67"/>
      <c r="DQ24" s="67"/>
      <c r="DR24" s="67"/>
      <c r="DS24" s="67"/>
      <c r="DT24" s="67"/>
      <c r="DU24" s="67"/>
      <c r="DV24" s="67"/>
      <c r="DW24" s="67"/>
      <c r="DX24" s="67"/>
      <c r="DY24" s="67"/>
      <c r="DZ24" s="67"/>
      <c r="EA24" s="67"/>
      <c r="EB24" s="67"/>
      <c r="EC24" s="67"/>
      <c r="ED24" s="67"/>
      <c r="EE24" s="67"/>
      <c r="EF24" s="67"/>
      <c r="EG24" s="67"/>
      <c r="EH24" s="67"/>
      <c r="EI24" s="67"/>
      <c r="EJ24" s="67"/>
      <c r="EK24" s="67"/>
      <c r="EL24" s="67"/>
      <c r="EM24" s="67"/>
      <c r="EN24" s="67"/>
      <c r="EO24" s="67"/>
      <c r="EP24" s="67"/>
      <c r="EQ24" s="67"/>
      <c r="ER24" s="67"/>
      <c r="ES24" s="67"/>
      <c r="ET24" s="67"/>
      <c r="EU24" s="67"/>
      <c r="EV24" s="67"/>
      <c r="EW24" s="67"/>
      <c r="EX24" s="67"/>
      <c r="EY24" s="67"/>
      <c r="EZ24" s="67"/>
      <c r="FA24" s="67"/>
      <c r="FB24" s="67"/>
      <c r="FC24" s="67"/>
      <c r="FD24" s="67"/>
      <c r="FE24" s="67"/>
      <c r="FF24" s="67"/>
      <c r="FG24" s="67"/>
      <c r="FH24" s="67"/>
      <c r="FI24" s="67"/>
      <c r="FJ24" s="67"/>
      <c r="FK24" s="67"/>
      <c r="FL24" s="67"/>
      <c r="FM24" s="67"/>
      <c r="FN24" s="67"/>
      <c r="FO24" s="67"/>
      <c r="FP24" s="67"/>
      <c r="FQ24" s="67"/>
      <c r="FR24" s="67"/>
      <c r="FS24" s="67"/>
      <c r="FT24" s="67"/>
      <c r="FU24" s="67"/>
      <c r="FV24" s="67"/>
      <c r="FW24" s="67"/>
      <c r="FX24" s="67"/>
      <c r="FY24" s="67"/>
      <c r="FZ24" s="67"/>
      <c r="GA24" s="67"/>
      <c r="GB24" s="67"/>
      <c r="GC24" s="67"/>
      <c r="GD24" s="67"/>
      <c r="GE24" s="67"/>
      <c r="GF24" s="67"/>
      <c r="GG24" s="67"/>
      <c r="GH24" s="67"/>
      <c r="GI24" s="67"/>
      <c r="GJ24" s="67"/>
      <c r="GK24" s="67"/>
      <c r="GL24" s="67"/>
      <c r="GM24" s="67"/>
      <c r="GN24" s="67"/>
      <c r="GO24" s="67"/>
      <c r="GP24" s="67"/>
      <c r="GQ24" s="67"/>
      <c r="GR24" s="67"/>
      <c r="GS24" s="67"/>
      <c r="GT24" s="67"/>
      <c r="GU24" s="67"/>
      <c r="GV24" s="67"/>
      <c r="GW24" s="67"/>
      <c r="GX24" s="67"/>
      <c r="GY24" s="67"/>
      <c r="GZ24" s="67"/>
      <c r="HA24" s="67"/>
      <c r="HB24" s="67"/>
      <c r="HC24" s="67"/>
      <c r="HD24" s="67"/>
      <c r="HE24" s="67"/>
      <c r="HF24" s="67"/>
      <c r="HG24" s="67"/>
      <c r="HH24" s="67"/>
      <c r="HI24" s="67"/>
      <c r="HJ24" s="67"/>
      <c r="HK24" s="67"/>
      <c r="HL24" s="67"/>
      <c r="HM24" s="67"/>
      <c r="HN24" s="67"/>
      <c r="HO24" s="67"/>
      <c r="HP24" s="67"/>
      <c r="HQ24" s="67"/>
      <c r="HR24" s="67"/>
      <c r="HS24" s="67"/>
      <c r="HT24" s="67"/>
      <c r="HU24" s="67"/>
      <c r="HV24" s="67"/>
      <c r="HW24" s="67"/>
      <c r="HX24" s="67"/>
      <c r="HY24" s="67"/>
      <c r="HZ24" s="67"/>
      <c r="IA24" s="67"/>
      <c r="IB24" s="67"/>
      <c r="IC24" s="67"/>
      <c r="ID24" s="67"/>
      <c r="IE24" s="67"/>
      <c r="IF24" s="67"/>
      <c r="IG24" s="67"/>
      <c r="IH24" s="67"/>
      <c r="II24" s="67"/>
      <c r="IJ24" s="67"/>
      <c r="IK24" s="67"/>
      <c r="IL24" s="67"/>
      <c r="IM24" s="67"/>
      <c r="IN24" s="67"/>
      <c r="IO24" s="67"/>
      <c r="IP24" s="67"/>
      <c r="IQ24" s="67"/>
      <c r="IR24" s="67"/>
      <c r="IS24" s="67"/>
      <c r="IT24" s="67"/>
      <c r="IU24" s="67"/>
      <c r="IV24" s="67"/>
    </row>
    <row r="25" spans="1:256" x14ac:dyDescent="0.2">
      <c r="A25" s="97" t="str">
        <f ca="1">CONCATENATE(Database!E21," *")</f>
        <v>RJ45 copper 100BASE-TX for NTP server and configuration *</v>
      </c>
      <c r="B25" s="96"/>
      <c r="C25" s="96"/>
      <c r="D25" s="96"/>
      <c r="E25" s="74"/>
      <c r="F25" s="74"/>
      <c r="G25" s="74"/>
      <c r="H25" s="74"/>
      <c r="I25" s="72" t="str">
        <f ca="1">Database!F21</f>
        <v>N</v>
      </c>
      <c r="J25" s="62"/>
      <c r="K25" s="63"/>
      <c r="L25" s="61"/>
      <c r="M25" s="109"/>
      <c r="N25" s="63"/>
      <c r="O25" s="61"/>
      <c r="P25" s="110"/>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7"/>
      <c r="CB25" s="67"/>
      <c r="CC25" s="67"/>
      <c r="CD25" s="67"/>
      <c r="CE25" s="67"/>
      <c r="CF25" s="67"/>
      <c r="CG25" s="67"/>
      <c r="CH25" s="67"/>
      <c r="CI25" s="67"/>
      <c r="CJ25" s="67"/>
      <c r="CK25" s="67"/>
      <c r="CL25" s="67"/>
      <c r="CM25" s="67"/>
      <c r="CN25" s="67"/>
      <c r="CO25" s="67"/>
      <c r="CP25" s="67"/>
      <c r="CQ25" s="67"/>
      <c r="CR25" s="67"/>
      <c r="CS25" s="67"/>
      <c r="CT25" s="67"/>
      <c r="CU25" s="67"/>
      <c r="CV25" s="67"/>
      <c r="CW25" s="67"/>
      <c r="CX25" s="67"/>
      <c r="CY25" s="67"/>
      <c r="CZ25" s="67"/>
      <c r="DA25" s="67"/>
      <c r="DB25" s="67"/>
      <c r="DC25" s="67"/>
      <c r="DD25" s="67"/>
      <c r="DE25" s="67"/>
      <c r="DF25" s="67"/>
      <c r="DG25" s="67"/>
      <c r="DH25" s="67"/>
      <c r="DI25" s="67"/>
      <c r="DJ25" s="67"/>
      <c r="DK25" s="67"/>
      <c r="DL25" s="67"/>
      <c r="DM25" s="67"/>
      <c r="DN25" s="67"/>
      <c r="DO25" s="67"/>
      <c r="DP25" s="67"/>
      <c r="DQ25" s="67"/>
      <c r="DR25" s="67"/>
      <c r="DS25" s="67"/>
      <c r="DT25" s="67"/>
      <c r="DU25" s="67"/>
      <c r="DV25" s="67"/>
      <c r="DW25" s="67"/>
      <c r="DX25" s="67"/>
      <c r="DY25" s="67"/>
      <c r="DZ25" s="67"/>
      <c r="EA25" s="67"/>
      <c r="EB25" s="67"/>
      <c r="EC25" s="67"/>
      <c r="ED25" s="67"/>
      <c r="EE25" s="67"/>
      <c r="EF25" s="67"/>
      <c r="EG25" s="67"/>
      <c r="EH25" s="67"/>
      <c r="EI25" s="67"/>
      <c r="EJ25" s="67"/>
      <c r="EK25" s="67"/>
      <c r="EL25" s="67"/>
      <c r="EM25" s="67"/>
      <c r="EN25" s="67"/>
      <c r="EO25" s="67"/>
      <c r="EP25" s="67"/>
      <c r="EQ25" s="67"/>
      <c r="ER25" s="67"/>
      <c r="ES25" s="67"/>
      <c r="ET25" s="67"/>
      <c r="EU25" s="67"/>
      <c r="EV25" s="67"/>
      <c r="EW25" s="67"/>
      <c r="EX25" s="67"/>
      <c r="EY25" s="67"/>
      <c r="EZ25" s="67"/>
      <c r="FA25" s="67"/>
      <c r="FB25" s="67"/>
      <c r="FC25" s="67"/>
      <c r="FD25" s="67"/>
      <c r="FE25" s="67"/>
      <c r="FF25" s="67"/>
      <c r="FG25" s="67"/>
      <c r="FH25" s="67"/>
      <c r="FI25" s="67"/>
      <c r="FJ25" s="67"/>
      <c r="FK25" s="67"/>
      <c r="FL25" s="67"/>
      <c r="FM25" s="67"/>
      <c r="FN25" s="67"/>
      <c r="FO25" s="67"/>
      <c r="FP25" s="67"/>
      <c r="FQ25" s="67"/>
      <c r="FR25" s="67"/>
      <c r="FS25" s="67"/>
      <c r="FT25" s="67"/>
      <c r="FU25" s="67"/>
      <c r="FV25" s="67"/>
      <c r="FW25" s="67"/>
      <c r="FX25" s="67"/>
      <c r="FY25" s="67"/>
      <c r="FZ25" s="67"/>
      <c r="GA25" s="67"/>
      <c r="GB25" s="67"/>
      <c r="GC25" s="67"/>
      <c r="GD25" s="67"/>
      <c r="GE25" s="67"/>
      <c r="GF25" s="67"/>
      <c r="GG25" s="67"/>
      <c r="GH25" s="67"/>
      <c r="GI25" s="67"/>
      <c r="GJ25" s="67"/>
      <c r="GK25" s="67"/>
      <c r="GL25" s="67"/>
      <c r="GM25" s="67"/>
      <c r="GN25" s="67"/>
      <c r="GO25" s="67"/>
      <c r="GP25" s="67"/>
      <c r="GQ25" s="67"/>
      <c r="GR25" s="67"/>
      <c r="GS25" s="67"/>
      <c r="GT25" s="67"/>
      <c r="GU25" s="67"/>
      <c r="GV25" s="67"/>
      <c r="GW25" s="67"/>
      <c r="GX25" s="67"/>
      <c r="GY25" s="67"/>
      <c r="GZ25" s="67"/>
      <c r="HA25" s="67"/>
      <c r="HB25" s="67"/>
      <c r="HC25" s="67"/>
      <c r="HD25" s="67"/>
      <c r="HE25" s="67"/>
      <c r="HF25" s="67"/>
      <c r="HG25" s="67"/>
      <c r="HH25" s="67"/>
      <c r="HI25" s="67"/>
      <c r="HJ25" s="67"/>
      <c r="HK25" s="67"/>
      <c r="HL25" s="67"/>
      <c r="HM25" s="67"/>
      <c r="HN25" s="67"/>
      <c r="HO25" s="67"/>
      <c r="HP25" s="67"/>
      <c r="HQ25" s="67"/>
      <c r="HR25" s="67"/>
      <c r="HS25" s="67"/>
      <c r="HT25" s="67"/>
      <c r="HU25" s="67"/>
      <c r="HV25" s="67"/>
      <c r="HW25" s="67"/>
      <c r="HX25" s="67"/>
      <c r="HY25" s="67"/>
      <c r="HZ25" s="67"/>
      <c r="IA25" s="67"/>
      <c r="IB25" s="67"/>
      <c r="IC25" s="67"/>
      <c r="ID25" s="67"/>
      <c r="IE25" s="67"/>
      <c r="IF25" s="67"/>
      <c r="IG25" s="67"/>
      <c r="IH25" s="67"/>
      <c r="II25" s="67"/>
      <c r="IJ25" s="67"/>
      <c r="IK25" s="67"/>
      <c r="IL25" s="67"/>
      <c r="IM25" s="67"/>
      <c r="IN25" s="67"/>
      <c r="IO25" s="67"/>
      <c r="IP25" s="67"/>
      <c r="IQ25" s="67"/>
      <c r="IR25" s="67"/>
      <c r="IS25" s="67"/>
      <c r="IT25" s="67"/>
      <c r="IU25" s="67"/>
      <c r="IV25" s="67"/>
    </row>
    <row r="26" spans="1:256" x14ac:dyDescent="0.2">
      <c r="A26" s="97" t="str">
        <f ca="1">CONCATENATE(Database!E22," **")</f>
        <v>RJ45 copper 100BASE-TX for PTP (IEEE 1588) server, NTP server and configuration **</v>
      </c>
      <c r="B26" s="96"/>
      <c r="C26" s="96"/>
      <c r="D26" s="96"/>
      <c r="E26" s="74"/>
      <c r="F26" s="74"/>
      <c r="G26" s="74"/>
      <c r="H26" s="74"/>
      <c r="I26" s="72" t="str">
        <f ca="1">Database!F22</f>
        <v>P</v>
      </c>
      <c r="J26" s="62"/>
      <c r="K26" s="63"/>
      <c r="L26" s="61"/>
      <c r="M26" s="109"/>
      <c r="N26" s="63"/>
      <c r="O26" s="61"/>
      <c r="P26" s="110"/>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c r="CB26" s="67"/>
      <c r="CC26" s="67"/>
      <c r="CD26" s="67"/>
      <c r="CE26" s="67"/>
      <c r="CF26" s="67"/>
      <c r="CG26" s="67"/>
      <c r="CH26" s="67"/>
      <c r="CI26" s="67"/>
      <c r="CJ26" s="67"/>
      <c r="CK26" s="67"/>
      <c r="CL26" s="67"/>
      <c r="CM26" s="67"/>
      <c r="CN26" s="67"/>
      <c r="CO26" s="67"/>
      <c r="CP26" s="67"/>
      <c r="CQ26" s="67"/>
      <c r="CR26" s="67"/>
      <c r="CS26" s="67"/>
      <c r="CT26" s="67"/>
      <c r="CU26" s="67"/>
      <c r="CV26" s="67"/>
      <c r="CW26" s="67"/>
      <c r="CX26" s="67"/>
      <c r="CY26" s="67"/>
      <c r="CZ26" s="67"/>
      <c r="DA26" s="67"/>
      <c r="DB26" s="67"/>
      <c r="DC26" s="67"/>
      <c r="DD26" s="67"/>
      <c r="DE26" s="67"/>
      <c r="DF26" s="67"/>
      <c r="DG26" s="67"/>
      <c r="DH26" s="67"/>
      <c r="DI26" s="67"/>
      <c r="DJ26" s="67"/>
      <c r="DK26" s="67"/>
      <c r="DL26" s="67"/>
      <c r="DM26" s="67"/>
      <c r="DN26" s="67"/>
      <c r="DO26" s="67"/>
      <c r="DP26" s="67"/>
      <c r="DQ26" s="67"/>
      <c r="DR26" s="67"/>
      <c r="DS26" s="67"/>
      <c r="DT26" s="67"/>
      <c r="DU26" s="67"/>
      <c r="DV26" s="67"/>
      <c r="DW26" s="67"/>
      <c r="DX26" s="67"/>
      <c r="DY26" s="67"/>
      <c r="DZ26" s="67"/>
      <c r="EA26" s="67"/>
      <c r="EB26" s="67"/>
      <c r="EC26" s="67"/>
      <c r="ED26" s="67"/>
      <c r="EE26" s="67"/>
      <c r="EF26" s="67"/>
      <c r="EG26" s="67"/>
      <c r="EH26" s="67"/>
      <c r="EI26" s="67"/>
      <c r="EJ26" s="67"/>
      <c r="EK26" s="67"/>
      <c r="EL26" s="67"/>
      <c r="EM26" s="67"/>
      <c r="EN26" s="67"/>
      <c r="EO26" s="67"/>
      <c r="EP26" s="67"/>
      <c r="EQ26" s="67"/>
      <c r="ER26" s="67"/>
      <c r="ES26" s="67"/>
      <c r="ET26" s="67"/>
      <c r="EU26" s="67"/>
      <c r="EV26" s="67"/>
      <c r="EW26" s="67"/>
      <c r="EX26" s="67"/>
      <c r="EY26" s="67"/>
      <c r="EZ26" s="67"/>
      <c r="FA26" s="67"/>
      <c r="FB26" s="67"/>
      <c r="FC26" s="67"/>
      <c r="FD26" s="67"/>
      <c r="FE26" s="67"/>
      <c r="FF26" s="67"/>
      <c r="FG26" s="67"/>
      <c r="FH26" s="67"/>
      <c r="FI26" s="67"/>
      <c r="FJ26" s="67"/>
      <c r="FK26" s="67"/>
      <c r="FL26" s="67"/>
      <c r="FM26" s="67"/>
      <c r="FN26" s="67"/>
      <c r="FO26" s="67"/>
      <c r="FP26" s="67"/>
      <c r="FQ26" s="67"/>
      <c r="FR26" s="67"/>
      <c r="FS26" s="67"/>
      <c r="FT26" s="67"/>
      <c r="FU26" s="67"/>
      <c r="FV26" s="67"/>
      <c r="FW26" s="67"/>
      <c r="FX26" s="67"/>
      <c r="FY26" s="67"/>
      <c r="FZ26" s="67"/>
      <c r="GA26" s="67"/>
      <c r="GB26" s="67"/>
      <c r="GC26" s="67"/>
      <c r="GD26" s="67"/>
      <c r="GE26" s="67"/>
      <c r="GF26" s="67"/>
      <c r="GG26" s="67"/>
      <c r="GH26" s="67"/>
      <c r="GI26" s="67"/>
      <c r="GJ26" s="67"/>
      <c r="GK26" s="67"/>
      <c r="GL26" s="67"/>
      <c r="GM26" s="67"/>
      <c r="GN26" s="67"/>
      <c r="GO26" s="67"/>
      <c r="GP26" s="67"/>
      <c r="GQ26" s="67"/>
      <c r="GR26" s="67"/>
      <c r="GS26" s="67"/>
      <c r="GT26" s="67"/>
      <c r="GU26" s="67"/>
      <c r="GV26" s="67"/>
      <c r="GW26" s="67"/>
      <c r="GX26" s="67"/>
      <c r="GY26" s="67"/>
      <c r="GZ26" s="67"/>
      <c r="HA26" s="67"/>
      <c r="HB26" s="67"/>
      <c r="HC26" s="67"/>
      <c r="HD26" s="67"/>
      <c r="HE26" s="67"/>
      <c r="HF26" s="67"/>
      <c r="HG26" s="67"/>
      <c r="HH26" s="67"/>
      <c r="HI26" s="67"/>
      <c r="HJ26" s="67"/>
      <c r="HK26" s="67"/>
      <c r="HL26" s="67"/>
      <c r="HM26" s="67"/>
      <c r="HN26" s="67"/>
      <c r="HO26" s="67"/>
      <c r="HP26" s="67"/>
      <c r="HQ26" s="67"/>
      <c r="HR26" s="67"/>
      <c r="HS26" s="67"/>
      <c r="HT26" s="67"/>
      <c r="HU26" s="67"/>
      <c r="HV26" s="67"/>
      <c r="HW26" s="67"/>
      <c r="HX26" s="67"/>
      <c r="HY26" s="67"/>
      <c r="HZ26" s="67"/>
      <c r="IA26" s="67"/>
      <c r="IB26" s="67"/>
      <c r="IC26" s="67"/>
      <c r="ID26" s="67"/>
      <c r="IE26" s="67"/>
      <c r="IF26" s="67"/>
      <c r="IG26" s="67"/>
      <c r="IH26" s="67"/>
      <c r="II26" s="67"/>
      <c r="IJ26" s="67"/>
      <c r="IK26" s="67"/>
      <c r="IL26" s="67"/>
      <c r="IM26" s="67"/>
      <c r="IN26" s="67"/>
      <c r="IO26" s="67"/>
      <c r="IP26" s="67"/>
      <c r="IQ26" s="67"/>
      <c r="IR26" s="67"/>
      <c r="IS26" s="67"/>
      <c r="IT26" s="67"/>
      <c r="IU26" s="67"/>
      <c r="IV26" s="67"/>
    </row>
    <row r="27" spans="1:256" x14ac:dyDescent="0.2">
      <c r="A27" s="98"/>
      <c r="B27" s="96"/>
      <c r="C27" s="96"/>
      <c r="D27" s="99"/>
      <c r="E27" s="73"/>
      <c r="F27" s="73"/>
      <c r="G27" s="73"/>
      <c r="H27" s="73"/>
      <c r="I27" s="73"/>
      <c r="J27" s="62"/>
      <c r="K27" s="63"/>
      <c r="L27" s="61"/>
      <c r="M27" s="109"/>
      <c r="N27" s="63"/>
      <c r="O27" s="61"/>
      <c r="P27" s="110"/>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c r="BT27" s="67"/>
      <c r="BU27" s="67"/>
      <c r="BV27" s="67"/>
      <c r="BW27" s="67"/>
      <c r="BX27" s="67"/>
      <c r="BY27" s="67"/>
      <c r="BZ27" s="67"/>
      <c r="CA27" s="67"/>
      <c r="CB27" s="67"/>
      <c r="CC27" s="67"/>
      <c r="CD27" s="67"/>
      <c r="CE27" s="67"/>
      <c r="CF27" s="67"/>
      <c r="CG27" s="67"/>
      <c r="CH27" s="67"/>
      <c r="CI27" s="67"/>
      <c r="CJ27" s="67"/>
      <c r="CK27" s="67"/>
      <c r="CL27" s="67"/>
      <c r="CM27" s="67"/>
      <c r="CN27" s="67"/>
      <c r="CO27" s="67"/>
      <c r="CP27" s="67"/>
      <c r="CQ27" s="67"/>
      <c r="CR27" s="67"/>
      <c r="CS27" s="67"/>
      <c r="CT27" s="67"/>
      <c r="CU27" s="67"/>
      <c r="CV27" s="67"/>
      <c r="CW27" s="67"/>
      <c r="CX27" s="67"/>
      <c r="CY27" s="67"/>
      <c r="CZ27" s="67"/>
      <c r="DA27" s="67"/>
      <c r="DB27" s="67"/>
      <c r="DC27" s="67"/>
      <c r="DD27" s="67"/>
      <c r="DE27" s="67"/>
      <c r="DF27" s="67"/>
      <c r="DG27" s="67"/>
      <c r="DH27" s="67"/>
      <c r="DI27" s="67"/>
      <c r="DJ27" s="67"/>
      <c r="DK27" s="67"/>
      <c r="DL27" s="67"/>
      <c r="DM27" s="67"/>
      <c r="DN27" s="67"/>
      <c r="DO27" s="67"/>
      <c r="DP27" s="67"/>
      <c r="DQ27" s="67"/>
      <c r="DR27" s="67"/>
      <c r="DS27" s="67"/>
      <c r="DT27" s="67"/>
      <c r="DU27" s="67"/>
      <c r="DV27" s="67"/>
      <c r="DW27" s="67"/>
      <c r="DX27" s="67"/>
      <c r="DY27" s="67"/>
      <c r="DZ27" s="67"/>
      <c r="EA27" s="67"/>
      <c r="EB27" s="67"/>
      <c r="EC27" s="67"/>
      <c r="ED27" s="67"/>
      <c r="EE27" s="67"/>
      <c r="EF27" s="67"/>
      <c r="EG27" s="67"/>
      <c r="EH27" s="67"/>
      <c r="EI27" s="67"/>
      <c r="EJ27" s="67"/>
      <c r="EK27" s="67"/>
      <c r="EL27" s="67"/>
      <c r="EM27" s="67"/>
      <c r="EN27" s="67"/>
      <c r="EO27" s="67"/>
      <c r="EP27" s="67"/>
      <c r="EQ27" s="67"/>
      <c r="ER27" s="67"/>
      <c r="ES27" s="67"/>
      <c r="ET27" s="67"/>
      <c r="EU27" s="67"/>
      <c r="EV27" s="67"/>
      <c r="EW27" s="67"/>
      <c r="EX27" s="67"/>
      <c r="EY27" s="67"/>
      <c r="EZ27" s="67"/>
      <c r="FA27" s="67"/>
      <c r="FB27" s="67"/>
      <c r="FC27" s="67"/>
      <c r="FD27" s="67"/>
      <c r="FE27" s="67"/>
      <c r="FF27" s="67"/>
      <c r="FG27" s="67"/>
      <c r="FH27" s="67"/>
      <c r="FI27" s="67"/>
      <c r="FJ27" s="67"/>
      <c r="FK27" s="67"/>
      <c r="FL27" s="67"/>
      <c r="FM27" s="67"/>
      <c r="FN27" s="67"/>
      <c r="FO27" s="67"/>
      <c r="FP27" s="67"/>
      <c r="FQ27" s="67"/>
      <c r="FR27" s="67"/>
      <c r="FS27" s="67"/>
      <c r="FT27" s="67"/>
      <c r="FU27" s="67"/>
      <c r="FV27" s="67"/>
      <c r="FW27" s="67"/>
      <c r="FX27" s="67"/>
      <c r="FY27" s="67"/>
      <c r="FZ27" s="67"/>
      <c r="GA27" s="67"/>
      <c r="GB27" s="67"/>
      <c r="GC27" s="67"/>
      <c r="GD27" s="67"/>
      <c r="GE27" s="67"/>
      <c r="GF27" s="67"/>
      <c r="GG27" s="67"/>
      <c r="GH27" s="67"/>
      <c r="GI27" s="67"/>
      <c r="GJ27" s="67"/>
      <c r="GK27" s="67"/>
      <c r="GL27" s="67"/>
      <c r="GM27" s="67"/>
      <c r="GN27" s="67"/>
      <c r="GO27" s="67"/>
      <c r="GP27" s="67"/>
      <c r="GQ27" s="67"/>
      <c r="GR27" s="67"/>
      <c r="GS27" s="67"/>
      <c r="GT27" s="67"/>
      <c r="GU27" s="67"/>
      <c r="GV27" s="67"/>
      <c r="GW27" s="67"/>
      <c r="GX27" s="67"/>
      <c r="GY27" s="67"/>
      <c r="GZ27" s="67"/>
      <c r="HA27" s="67"/>
      <c r="HB27" s="67"/>
      <c r="HC27" s="67"/>
      <c r="HD27" s="67"/>
      <c r="HE27" s="67"/>
      <c r="HF27" s="67"/>
      <c r="HG27" s="67"/>
      <c r="HH27" s="67"/>
      <c r="HI27" s="67"/>
      <c r="HJ27" s="67"/>
      <c r="HK27" s="67"/>
      <c r="HL27" s="67"/>
      <c r="HM27" s="67"/>
      <c r="HN27" s="67"/>
      <c r="HO27" s="67"/>
      <c r="HP27" s="67"/>
      <c r="HQ27" s="67"/>
      <c r="HR27" s="67"/>
      <c r="HS27" s="67"/>
      <c r="HT27" s="67"/>
      <c r="HU27" s="67"/>
      <c r="HV27" s="67"/>
      <c r="HW27" s="67"/>
      <c r="HX27" s="67"/>
      <c r="HY27" s="67"/>
      <c r="HZ27" s="67"/>
      <c r="IA27" s="67"/>
      <c r="IB27" s="67"/>
      <c r="IC27" s="67"/>
      <c r="ID27" s="67"/>
      <c r="IE27" s="67"/>
      <c r="IF27" s="67"/>
      <c r="IG27" s="67"/>
      <c r="IH27" s="67"/>
      <c r="II27" s="67"/>
      <c r="IJ27" s="67"/>
      <c r="IK27" s="67"/>
      <c r="IL27" s="67"/>
      <c r="IM27" s="67"/>
      <c r="IN27" s="67"/>
      <c r="IO27" s="67"/>
      <c r="IP27" s="67"/>
      <c r="IQ27" s="67"/>
      <c r="IR27" s="67"/>
      <c r="IS27" s="67"/>
      <c r="IT27" s="67"/>
      <c r="IU27" s="67"/>
      <c r="IV27" s="67"/>
    </row>
    <row r="28" spans="1:256" x14ac:dyDescent="0.2">
      <c r="A28" s="57" t="str">
        <f>'Date Drivers'!B21</f>
        <v>Customization / Regionalisation</v>
      </c>
      <c r="B28" s="162"/>
      <c r="C28" s="52"/>
      <c r="D28" s="65"/>
      <c r="E28" s="71"/>
      <c r="F28" s="74"/>
      <c r="G28" s="74"/>
      <c r="H28" s="74"/>
      <c r="I28" s="74"/>
      <c r="J28" s="62"/>
      <c r="K28" s="63"/>
      <c r="L28" s="61"/>
      <c r="M28" s="109"/>
      <c r="N28" s="63"/>
      <c r="O28" s="61"/>
      <c r="P28" s="110"/>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c r="BN28" s="67"/>
      <c r="BO28" s="67"/>
      <c r="BP28" s="67"/>
      <c r="BQ28" s="67"/>
      <c r="BR28" s="67"/>
      <c r="BS28" s="67"/>
      <c r="BT28" s="67"/>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c r="EO28" s="67"/>
      <c r="EP28" s="67"/>
      <c r="EQ28" s="67"/>
      <c r="ER28" s="67"/>
      <c r="ES28" s="67"/>
      <c r="ET28" s="67"/>
      <c r="EU28" s="67"/>
      <c r="EV28" s="67"/>
      <c r="EW28" s="67"/>
      <c r="EX28" s="67"/>
      <c r="EY28" s="67"/>
      <c r="EZ28" s="67"/>
      <c r="FA28" s="67"/>
      <c r="FB28" s="67"/>
      <c r="FC28" s="67"/>
      <c r="FD28" s="67"/>
      <c r="FE28" s="67"/>
      <c r="FF28" s="67"/>
      <c r="FG28" s="67"/>
      <c r="FH28" s="67"/>
      <c r="FI28" s="67"/>
      <c r="FJ28" s="67"/>
      <c r="FK28" s="67"/>
      <c r="FL28" s="67"/>
      <c r="FM28" s="67"/>
      <c r="FN28" s="67"/>
      <c r="FO28" s="67"/>
      <c r="FP28" s="67"/>
      <c r="FQ28" s="67"/>
      <c r="FR28" s="67"/>
      <c r="FS28" s="67"/>
      <c r="FT28" s="67"/>
      <c r="FU28" s="67"/>
      <c r="FV28" s="67"/>
      <c r="FW28" s="67"/>
      <c r="FX28" s="67"/>
      <c r="FY28" s="67"/>
      <c r="FZ28" s="67"/>
      <c r="GA28" s="67"/>
      <c r="GB28" s="67"/>
      <c r="GC28" s="67"/>
      <c r="GD28" s="67"/>
      <c r="GE28" s="67"/>
      <c r="GF28" s="67"/>
      <c r="GG28" s="67"/>
      <c r="GH28" s="67"/>
      <c r="GI28" s="67"/>
      <c r="GJ28" s="67"/>
      <c r="GK28" s="67"/>
      <c r="GL28" s="67"/>
      <c r="GM28" s="67"/>
      <c r="GN28" s="67"/>
      <c r="GO28" s="67"/>
      <c r="GP28" s="67"/>
      <c r="GQ28" s="67"/>
      <c r="GR28" s="67"/>
      <c r="GS28" s="67"/>
      <c r="GT28" s="67"/>
      <c r="GU28" s="67"/>
      <c r="GV28" s="67"/>
      <c r="GW28" s="67"/>
      <c r="GX28" s="67"/>
      <c r="GY28" s="67"/>
      <c r="GZ28" s="67"/>
      <c r="HA28" s="67"/>
      <c r="HB28" s="67"/>
      <c r="HC28" s="67"/>
      <c r="HD28" s="67"/>
      <c r="HE28" s="67"/>
      <c r="HF28" s="67"/>
      <c r="HG28" s="67"/>
      <c r="HH28" s="67"/>
      <c r="HI28" s="67"/>
      <c r="HJ28" s="67"/>
      <c r="HK28" s="67"/>
      <c r="HL28" s="67"/>
      <c r="HM28" s="67"/>
      <c r="HN28" s="67"/>
      <c r="HO28" s="67"/>
      <c r="HP28" s="67"/>
      <c r="HQ28" s="67"/>
      <c r="HR28" s="67"/>
      <c r="HS28" s="67"/>
      <c r="HT28" s="67"/>
      <c r="HU28" s="67"/>
      <c r="HV28" s="67"/>
      <c r="HW28" s="67"/>
      <c r="HX28" s="67"/>
      <c r="HY28" s="67"/>
      <c r="HZ28" s="67"/>
      <c r="IA28" s="67"/>
      <c r="IB28" s="67"/>
      <c r="IC28" s="67"/>
      <c r="ID28" s="67"/>
      <c r="IE28" s="67"/>
      <c r="IF28" s="67"/>
      <c r="IG28" s="67"/>
      <c r="IH28" s="67"/>
      <c r="II28" s="67"/>
      <c r="IJ28" s="67"/>
      <c r="IK28" s="67"/>
      <c r="IL28" s="67"/>
      <c r="IM28" s="67"/>
      <c r="IN28" s="67"/>
      <c r="IO28" s="67"/>
      <c r="IP28" s="67"/>
      <c r="IQ28" s="67"/>
      <c r="IR28" s="67"/>
      <c r="IS28" s="67"/>
      <c r="IT28" s="67"/>
      <c r="IU28" s="67"/>
      <c r="IV28" s="67"/>
    </row>
    <row r="29" spans="1:256" x14ac:dyDescent="0.2">
      <c r="A29" s="64" t="str">
        <f ca="1">Database!E25</f>
        <v>GE branding</v>
      </c>
      <c r="B29" s="65"/>
      <c r="C29" s="65"/>
      <c r="D29" s="65"/>
      <c r="E29" s="71"/>
      <c r="F29" s="74"/>
      <c r="G29" s="74"/>
      <c r="H29" s="74"/>
      <c r="I29" s="74"/>
      <c r="J29" s="72" t="str">
        <f ca="1">Database!F25</f>
        <v>C</v>
      </c>
      <c r="K29" s="63"/>
      <c r="L29" s="61"/>
      <c r="M29" s="109"/>
      <c r="N29" s="63"/>
      <c r="O29" s="61"/>
      <c r="P29" s="110"/>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c r="EO29" s="67"/>
      <c r="EP29" s="67"/>
      <c r="EQ29" s="67"/>
      <c r="ER29" s="67"/>
      <c r="ES29" s="67"/>
      <c r="ET29" s="67"/>
      <c r="EU29" s="67"/>
      <c r="EV29" s="67"/>
      <c r="EW29" s="67"/>
      <c r="EX29" s="67"/>
      <c r="EY29" s="67"/>
      <c r="EZ29" s="67"/>
      <c r="FA29" s="67"/>
      <c r="FB29" s="67"/>
      <c r="FC29" s="67"/>
      <c r="FD29" s="67"/>
      <c r="FE29" s="67"/>
      <c r="FF29" s="67"/>
      <c r="FG29" s="67"/>
      <c r="FH29" s="67"/>
      <c r="FI29" s="67"/>
      <c r="FJ29" s="67"/>
      <c r="FK29" s="67"/>
      <c r="FL29" s="67"/>
      <c r="FM29" s="67"/>
      <c r="FN29" s="67"/>
      <c r="FO29" s="67"/>
      <c r="FP29" s="67"/>
      <c r="FQ29" s="67"/>
      <c r="FR29" s="67"/>
      <c r="FS29" s="67"/>
      <c r="FT29" s="67"/>
      <c r="FU29" s="67"/>
      <c r="FV29" s="67"/>
      <c r="FW29" s="67"/>
      <c r="FX29" s="67"/>
      <c r="FY29" s="67"/>
      <c r="FZ29" s="67"/>
      <c r="GA29" s="67"/>
      <c r="GB29" s="67"/>
      <c r="GC29" s="67"/>
      <c r="GD29" s="67"/>
      <c r="GE29" s="67"/>
      <c r="GF29" s="67"/>
      <c r="GG29" s="67"/>
      <c r="GH29" s="67"/>
      <c r="GI29" s="67"/>
      <c r="GJ29" s="67"/>
      <c r="GK29" s="67"/>
      <c r="GL29" s="67"/>
      <c r="GM29" s="67"/>
      <c r="GN29" s="67"/>
      <c r="GO29" s="67"/>
      <c r="GP29" s="67"/>
      <c r="GQ29" s="67"/>
      <c r="GR29" s="67"/>
      <c r="GS29" s="67"/>
      <c r="GT29" s="67"/>
      <c r="GU29" s="67"/>
      <c r="GV29" s="67"/>
      <c r="GW29" s="67"/>
      <c r="GX29" s="67"/>
      <c r="GY29" s="67"/>
      <c r="GZ29" s="67"/>
      <c r="HA29" s="67"/>
      <c r="HB29" s="67"/>
      <c r="HC29" s="67"/>
      <c r="HD29" s="67"/>
      <c r="HE29" s="67"/>
      <c r="HF29" s="67"/>
      <c r="HG29" s="67"/>
      <c r="HH29" s="67"/>
      <c r="HI29" s="67"/>
      <c r="HJ29" s="67"/>
      <c r="HK29" s="67"/>
      <c r="HL29" s="67"/>
      <c r="HM29" s="67"/>
      <c r="HN29" s="67"/>
      <c r="HO29" s="67"/>
      <c r="HP29" s="67"/>
      <c r="HQ29" s="67"/>
      <c r="HR29" s="67"/>
      <c r="HS29" s="67"/>
      <c r="HT29" s="67"/>
      <c r="HU29" s="67"/>
      <c r="HV29" s="67"/>
      <c r="HW29" s="67"/>
      <c r="HX29" s="67"/>
      <c r="HY29" s="67"/>
      <c r="HZ29" s="67"/>
      <c r="IA29" s="67"/>
      <c r="IB29" s="67"/>
      <c r="IC29" s="67"/>
      <c r="ID29" s="67"/>
      <c r="IE29" s="67"/>
      <c r="IF29" s="67"/>
      <c r="IG29" s="67"/>
      <c r="IH29" s="67"/>
      <c r="II29" s="67"/>
      <c r="IJ29" s="67"/>
      <c r="IK29" s="67"/>
      <c r="IL29" s="67"/>
      <c r="IM29" s="67"/>
      <c r="IN29" s="67"/>
      <c r="IO29" s="67"/>
      <c r="IP29" s="67"/>
      <c r="IQ29" s="67"/>
      <c r="IR29" s="67"/>
      <c r="IS29" s="67"/>
      <c r="IT29" s="67"/>
      <c r="IU29" s="67"/>
      <c r="IV29" s="67"/>
    </row>
    <row r="30" spans="1:256" x14ac:dyDescent="0.2">
      <c r="A30" s="68"/>
      <c r="B30" s="65"/>
      <c r="C30" s="65"/>
      <c r="D30" s="65"/>
      <c r="E30" s="71"/>
      <c r="F30" s="74"/>
      <c r="G30" s="74"/>
      <c r="H30" s="74"/>
      <c r="I30" s="74"/>
      <c r="J30" s="73"/>
      <c r="K30" s="63"/>
      <c r="L30" s="61"/>
      <c r="M30" s="109"/>
      <c r="N30" s="63"/>
      <c r="O30" s="61"/>
      <c r="P30" s="110"/>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7"/>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c r="EO30" s="67"/>
      <c r="EP30" s="67"/>
      <c r="EQ30" s="67"/>
      <c r="ER30" s="67"/>
      <c r="ES30" s="67"/>
      <c r="ET30" s="67"/>
      <c r="EU30" s="67"/>
      <c r="EV30" s="67"/>
      <c r="EW30" s="67"/>
      <c r="EX30" s="67"/>
      <c r="EY30" s="67"/>
      <c r="EZ30" s="67"/>
      <c r="FA30" s="67"/>
      <c r="FB30" s="67"/>
      <c r="FC30" s="67"/>
      <c r="FD30" s="67"/>
      <c r="FE30" s="67"/>
      <c r="FF30" s="67"/>
      <c r="FG30" s="67"/>
      <c r="FH30" s="67"/>
      <c r="FI30" s="67"/>
      <c r="FJ30" s="67"/>
      <c r="FK30" s="67"/>
      <c r="FL30" s="67"/>
      <c r="FM30" s="67"/>
      <c r="FN30" s="67"/>
      <c r="FO30" s="67"/>
      <c r="FP30" s="67"/>
      <c r="FQ30" s="67"/>
      <c r="FR30" s="67"/>
      <c r="FS30" s="67"/>
      <c r="FT30" s="67"/>
      <c r="FU30" s="67"/>
      <c r="FV30" s="67"/>
      <c r="FW30" s="67"/>
      <c r="FX30" s="67"/>
      <c r="FY30" s="67"/>
      <c r="FZ30" s="67"/>
      <c r="GA30" s="67"/>
      <c r="GB30" s="67"/>
      <c r="GC30" s="67"/>
      <c r="GD30" s="67"/>
      <c r="GE30" s="67"/>
      <c r="GF30" s="67"/>
      <c r="GG30" s="67"/>
      <c r="GH30" s="67"/>
      <c r="GI30" s="67"/>
      <c r="GJ30" s="67"/>
      <c r="GK30" s="67"/>
      <c r="GL30" s="67"/>
      <c r="GM30" s="67"/>
      <c r="GN30" s="67"/>
      <c r="GO30" s="67"/>
      <c r="GP30" s="67"/>
      <c r="GQ30" s="67"/>
      <c r="GR30" s="67"/>
      <c r="GS30" s="67"/>
      <c r="GT30" s="67"/>
      <c r="GU30" s="67"/>
      <c r="GV30" s="67"/>
      <c r="GW30" s="67"/>
      <c r="GX30" s="67"/>
      <c r="GY30" s="67"/>
      <c r="GZ30" s="67"/>
      <c r="HA30" s="67"/>
      <c r="HB30" s="67"/>
      <c r="HC30" s="67"/>
      <c r="HD30" s="67"/>
      <c r="HE30" s="67"/>
      <c r="HF30" s="67"/>
      <c r="HG30" s="67"/>
      <c r="HH30" s="67"/>
      <c r="HI30" s="67"/>
      <c r="HJ30" s="67"/>
      <c r="HK30" s="67"/>
      <c r="HL30" s="67"/>
      <c r="HM30" s="67"/>
      <c r="HN30" s="67"/>
      <c r="HO30" s="67"/>
      <c r="HP30" s="67"/>
      <c r="HQ30" s="67"/>
      <c r="HR30" s="67"/>
      <c r="HS30" s="67"/>
      <c r="HT30" s="67"/>
      <c r="HU30" s="67"/>
      <c r="HV30" s="67"/>
      <c r="HW30" s="67"/>
      <c r="HX30" s="67"/>
      <c r="HY30" s="67"/>
      <c r="HZ30" s="67"/>
      <c r="IA30" s="67"/>
      <c r="IB30" s="67"/>
      <c r="IC30" s="67"/>
      <c r="ID30" s="67"/>
      <c r="IE30" s="67"/>
      <c r="IF30" s="67"/>
      <c r="IG30" s="67"/>
      <c r="IH30" s="67"/>
      <c r="II30" s="67"/>
      <c r="IJ30" s="67"/>
      <c r="IK30" s="67"/>
      <c r="IL30" s="67"/>
      <c r="IM30" s="67"/>
      <c r="IN30" s="67"/>
      <c r="IO30" s="67"/>
      <c r="IP30" s="67"/>
      <c r="IQ30" s="67"/>
      <c r="IR30" s="67"/>
      <c r="IS30" s="67"/>
      <c r="IT30" s="67"/>
      <c r="IU30" s="67"/>
      <c r="IV30" s="67"/>
    </row>
    <row r="31" spans="1:256" x14ac:dyDescent="0.2">
      <c r="A31" s="57" t="str">
        <f>'Date Drivers'!B24</f>
        <v>Firmware Version</v>
      </c>
      <c r="B31" s="162"/>
      <c r="C31" s="52"/>
      <c r="D31" s="52"/>
      <c r="E31" s="75"/>
      <c r="F31" s="76"/>
      <c r="G31" s="76"/>
      <c r="H31" s="76"/>
      <c r="I31" s="76"/>
      <c r="J31" s="74"/>
      <c r="K31" s="63"/>
      <c r="L31" s="61"/>
      <c r="M31" s="109"/>
      <c r="N31" s="63"/>
      <c r="O31" s="61"/>
      <c r="P31" s="110"/>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c r="EO31" s="67"/>
      <c r="EP31" s="67"/>
      <c r="EQ31" s="67"/>
      <c r="ER31" s="67"/>
      <c r="ES31" s="67"/>
      <c r="ET31" s="67"/>
      <c r="EU31" s="67"/>
      <c r="EV31" s="67"/>
      <c r="EW31" s="67"/>
      <c r="EX31" s="67"/>
      <c r="EY31" s="67"/>
      <c r="EZ31" s="67"/>
      <c r="FA31" s="67"/>
      <c r="FB31" s="67"/>
      <c r="FC31" s="67"/>
      <c r="FD31" s="67"/>
      <c r="FE31" s="67"/>
      <c r="FF31" s="67"/>
      <c r="FG31" s="67"/>
      <c r="FH31" s="67"/>
      <c r="FI31" s="67"/>
      <c r="FJ31" s="67"/>
      <c r="FK31" s="67"/>
      <c r="FL31" s="67"/>
      <c r="FM31" s="67"/>
      <c r="FN31" s="67"/>
      <c r="FO31" s="67"/>
      <c r="FP31" s="67"/>
      <c r="FQ31" s="67"/>
      <c r="FR31" s="67"/>
      <c r="FS31" s="67"/>
      <c r="FT31" s="67"/>
      <c r="FU31" s="67"/>
      <c r="FV31" s="67"/>
      <c r="FW31" s="67"/>
      <c r="FX31" s="67"/>
      <c r="FY31" s="67"/>
      <c r="FZ31" s="67"/>
      <c r="GA31" s="67"/>
      <c r="GB31" s="67"/>
      <c r="GC31" s="67"/>
      <c r="GD31" s="67"/>
      <c r="GE31" s="67"/>
      <c r="GF31" s="67"/>
      <c r="GG31" s="67"/>
      <c r="GH31" s="67"/>
      <c r="GI31" s="67"/>
      <c r="GJ31" s="67"/>
      <c r="GK31" s="67"/>
      <c r="GL31" s="67"/>
      <c r="GM31" s="67"/>
      <c r="GN31" s="67"/>
      <c r="GO31" s="67"/>
      <c r="GP31" s="67"/>
      <c r="GQ31" s="67"/>
      <c r="GR31" s="67"/>
      <c r="GS31" s="67"/>
      <c r="GT31" s="67"/>
      <c r="GU31" s="67"/>
      <c r="GV31" s="67"/>
      <c r="GW31" s="67"/>
      <c r="GX31" s="67"/>
      <c r="GY31" s="67"/>
      <c r="GZ31" s="67"/>
      <c r="HA31" s="67"/>
      <c r="HB31" s="67"/>
      <c r="HC31" s="67"/>
      <c r="HD31" s="67"/>
      <c r="HE31" s="67"/>
      <c r="HF31" s="67"/>
      <c r="HG31" s="67"/>
      <c r="HH31" s="67"/>
      <c r="HI31" s="67"/>
      <c r="HJ31" s="67"/>
      <c r="HK31" s="67"/>
      <c r="HL31" s="67"/>
      <c r="HM31" s="67"/>
      <c r="HN31" s="67"/>
      <c r="HO31" s="67"/>
      <c r="HP31" s="67"/>
      <c r="HQ31" s="67"/>
      <c r="HR31" s="67"/>
      <c r="HS31" s="67"/>
      <c r="HT31" s="67"/>
      <c r="HU31" s="67"/>
      <c r="HV31" s="67"/>
      <c r="HW31" s="67"/>
      <c r="HX31" s="67"/>
      <c r="HY31" s="67"/>
      <c r="HZ31" s="67"/>
      <c r="IA31" s="67"/>
      <c r="IB31" s="67"/>
      <c r="IC31" s="67"/>
      <c r="ID31" s="67"/>
      <c r="IE31" s="67"/>
      <c r="IF31" s="67"/>
      <c r="IG31" s="67"/>
      <c r="IH31" s="67"/>
      <c r="II31" s="67"/>
      <c r="IJ31" s="67"/>
      <c r="IK31" s="67"/>
      <c r="IL31" s="67"/>
      <c r="IM31" s="67"/>
      <c r="IN31" s="67"/>
      <c r="IO31" s="67"/>
      <c r="IP31" s="67"/>
      <c r="IQ31" s="67"/>
      <c r="IR31" s="67"/>
      <c r="IS31" s="67"/>
      <c r="IT31" s="67"/>
      <c r="IU31" s="67"/>
      <c r="IV31" s="67"/>
    </row>
    <row r="32" spans="1:256" x14ac:dyDescent="0.2">
      <c r="A32" s="64" t="str">
        <f ca="1">Database!E29</f>
        <v>Latest available firmware - 08</v>
      </c>
      <c r="B32" s="65"/>
      <c r="C32" s="65"/>
      <c r="D32" s="65"/>
      <c r="E32" s="71"/>
      <c r="F32" s="74"/>
      <c r="G32" s="74"/>
      <c r="H32" s="74"/>
      <c r="I32" s="74"/>
      <c r="J32" s="74"/>
      <c r="K32" s="101" t="str">
        <f ca="1">Database!F29</f>
        <v>08</v>
      </c>
      <c r="L32" s="61"/>
      <c r="M32" s="109"/>
      <c r="N32" s="63"/>
      <c r="O32" s="61"/>
      <c r="P32" s="110"/>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c r="EO32" s="67"/>
      <c r="EP32" s="67"/>
      <c r="EQ32" s="67"/>
      <c r="ER32" s="67"/>
      <c r="ES32" s="67"/>
      <c r="ET32" s="67"/>
      <c r="EU32" s="67"/>
      <c r="EV32" s="67"/>
      <c r="EW32" s="67"/>
      <c r="EX32" s="67"/>
      <c r="EY32" s="67"/>
      <c r="EZ32" s="67"/>
      <c r="FA32" s="67"/>
      <c r="FB32" s="67"/>
      <c r="FC32" s="67"/>
      <c r="FD32" s="67"/>
      <c r="FE32" s="67"/>
      <c r="FF32" s="67"/>
      <c r="FG32" s="67"/>
      <c r="FH32" s="67"/>
      <c r="FI32" s="67"/>
      <c r="FJ32" s="67"/>
      <c r="FK32" s="67"/>
      <c r="FL32" s="67"/>
      <c r="FM32" s="67"/>
      <c r="FN32" s="67"/>
      <c r="FO32" s="67"/>
      <c r="FP32" s="67"/>
      <c r="FQ32" s="67"/>
      <c r="FR32" s="67"/>
      <c r="FS32" s="67"/>
      <c r="FT32" s="67"/>
      <c r="FU32" s="67"/>
      <c r="FV32" s="67"/>
      <c r="FW32" s="67"/>
      <c r="FX32" s="67"/>
      <c r="FY32" s="67"/>
      <c r="FZ32" s="67"/>
      <c r="GA32" s="67"/>
      <c r="GB32" s="67"/>
      <c r="GC32" s="67"/>
      <c r="GD32" s="67"/>
      <c r="GE32" s="67"/>
      <c r="GF32" s="67"/>
      <c r="GG32" s="67"/>
      <c r="GH32" s="67"/>
      <c r="GI32" s="67"/>
      <c r="GJ32" s="67"/>
      <c r="GK32" s="67"/>
      <c r="GL32" s="67"/>
      <c r="GM32" s="67"/>
      <c r="GN32" s="67"/>
      <c r="GO32" s="67"/>
      <c r="GP32" s="67"/>
      <c r="GQ32" s="67"/>
      <c r="GR32" s="67"/>
      <c r="GS32" s="67"/>
      <c r="GT32" s="67"/>
      <c r="GU32" s="67"/>
      <c r="GV32" s="67"/>
      <c r="GW32" s="67"/>
      <c r="GX32" s="67"/>
      <c r="GY32" s="67"/>
      <c r="GZ32" s="67"/>
      <c r="HA32" s="67"/>
      <c r="HB32" s="67"/>
      <c r="HC32" s="67"/>
      <c r="HD32" s="67"/>
      <c r="HE32" s="67"/>
      <c r="HF32" s="67"/>
      <c r="HG32" s="67"/>
      <c r="HH32" s="67"/>
      <c r="HI32" s="67"/>
      <c r="HJ32" s="67"/>
      <c r="HK32" s="67"/>
      <c r="HL32" s="67"/>
      <c r="HM32" s="67"/>
      <c r="HN32" s="67"/>
      <c r="HO32" s="67"/>
      <c r="HP32" s="67"/>
      <c r="HQ32" s="67"/>
      <c r="HR32" s="67"/>
      <c r="HS32" s="67"/>
      <c r="HT32" s="67"/>
      <c r="HU32" s="67"/>
      <c r="HV32" s="67"/>
      <c r="HW32" s="67"/>
      <c r="HX32" s="67"/>
      <c r="HY32" s="67"/>
      <c r="HZ32" s="67"/>
      <c r="IA32" s="67"/>
      <c r="IB32" s="67"/>
      <c r="IC32" s="67"/>
      <c r="ID32" s="67"/>
      <c r="IE32" s="67"/>
      <c r="IF32" s="67"/>
      <c r="IG32" s="67"/>
      <c r="IH32" s="67"/>
      <c r="II32" s="67"/>
      <c r="IJ32" s="67"/>
      <c r="IK32" s="67"/>
      <c r="IL32" s="67"/>
      <c r="IM32" s="67"/>
      <c r="IN32" s="67"/>
      <c r="IO32" s="67"/>
      <c r="IP32" s="67"/>
      <c r="IQ32" s="67"/>
      <c r="IR32" s="67"/>
      <c r="IS32" s="67"/>
      <c r="IT32" s="67"/>
      <c r="IU32" s="67"/>
      <c r="IV32" s="67"/>
    </row>
    <row r="33" spans="1:256" x14ac:dyDescent="0.2">
      <c r="A33" s="64" t="str">
        <f ca="1">Database!E30</f>
        <v>Firmware version number - 07</v>
      </c>
      <c r="B33" s="65"/>
      <c r="C33" s="65"/>
      <c r="D33" s="65"/>
      <c r="E33" s="71"/>
      <c r="F33" s="74"/>
      <c r="G33" s="74"/>
      <c r="H33" s="74"/>
      <c r="I33" s="74"/>
      <c r="J33" s="74"/>
      <c r="K33" s="101" t="str">
        <f ca="1">Database!F30</f>
        <v>07</v>
      </c>
      <c r="L33" s="61"/>
      <c r="M33" s="109"/>
      <c r="N33" s="63"/>
      <c r="O33" s="61"/>
      <c r="P33" s="110"/>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c r="EO33" s="67"/>
      <c r="EP33" s="67"/>
      <c r="EQ33" s="67"/>
      <c r="ER33" s="67"/>
      <c r="ES33" s="67"/>
      <c r="ET33" s="67"/>
      <c r="EU33" s="67"/>
      <c r="EV33" s="67"/>
      <c r="EW33" s="67"/>
      <c r="EX33" s="67"/>
      <c r="EY33" s="67"/>
      <c r="EZ33" s="67"/>
      <c r="FA33" s="67"/>
      <c r="FB33" s="67"/>
      <c r="FC33" s="67"/>
      <c r="FD33" s="67"/>
      <c r="FE33" s="67"/>
      <c r="FF33" s="67"/>
      <c r="FG33" s="67"/>
      <c r="FH33" s="67"/>
      <c r="FI33" s="67"/>
      <c r="FJ33" s="67"/>
      <c r="FK33" s="67"/>
      <c r="FL33" s="67"/>
      <c r="FM33" s="67"/>
      <c r="FN33" s="67"/>
      <c r="FO33" s="67"/>
      <c r="FP33" s="67"/>
      <c r="FQ33" s="67"/>
      <c r="FR33" s="67"/>
      <c r="FS33" s="67"/>
      <c r="FT33" s="67"/>
      <c r="FU33" s="67"/>
      <c r="FV33" s="67"/>
      <c r="FW33" s="67"/>
      <c r="FX33" s="67"/>
      <c r="FY33" s="67"/>
      <c r="FZ33" s="67"/>
      <c r="GA33" s="67"/>
      <c r="GB33" s="67"/>
      <c r="GC33" s="67"/>
      <c r="GD33" s="67"/>
      <c r="GE33" s="67"/>
      <c r="GF33" s="67"/>
      <c r="GG33" s="67"/>
      <c r="GH33" s="67"/>
      <c r="GI33" s="67"/>
      <c r="GJ33" s="67"/>
      <c r="GK33" s="67"/>
      <c r="GL33" s="67"/>
      <c r="GM33" s="67"/>
      <c r="GN33" s="67"/>
      <c r="GO33" s="67"/>
      <c r="GP33" s="67"/>
      <c r="GQ33" s="67"/>
      <c r="GR33" s="67"/>
      <c r="GS33" s="67"/>
      <c r="GT33" s="67"/>
      <c r="GU33" s="67"/>
      <c r="GV33" s="67"/>
      <c r="GW33" s="67"/>
      <c r="GX33" s="67"/>
      <c r="GY33" s="67"/>
      <c r="GZ33" s="67"/>
      <c r="HA33" s="67"/>
      <c r="HB33" s="67"/>
      <c r="HC33" s="67"/>
      <c r="HD33" s="67"/>
      <c r="HE33" s="67"/>
      <c r="HF33" s="67"/>
      <c r="HG33" s="67"/>
      <c r="HH33" s="67"/>
      <c r="HI33" s="67"/>
      <c r="HJ33" s="67"/>
      <c r="HK33" s="67"/>
      <c r="HL33" s="67"/>
      <c r="HM33" s="67"/>
      <c r="HN33" s="67"/>
      <c r="HO33" s="67"/>
      <c r="HP33" s="67"/>
      <c r="HQ33" s="67"/>
      <c r="HR33" s="67"/>
      <c r="HS33" s="67"/>
      <c r="HT33" s="67"/>
      <c r="HU33" s="67"/>
      <c r="HV33" s="67"/>
      <c r="HW33" s="67"/>
      <c r="HX33" s="67"/>
      <c r="HY33" s="67"/>
      <c r="HZ33" s="67"/>
      <c r="IA33" s="67"/>
      <c r="IB33" s="67"/>
      <c r="IC33" s="67"/>
      <c r="ID33" s="67"/>
      <c r="IE33" s="67"/>
      <c r="IF33" s="67"/>
      <c r="IG33" s="67"/>
      <c r="IH33" s="67"/>
      <c r="II33" s="67"/>
      <c r="IJ33" s="67"/>
      <c r="IK33" s="67"/>
      <c r="IL33" s="67"/>
      <c r="IM33" s="67"/>
      <c r="IN33" s="67"/>
      <c r="IO33" s="67"/>
      <c r="IP33" s="67"/>
      <c r="IQ33" s="67"/>
      <c r="IR33" s="67"/>
      <c r="IS33" s="67"/>
      <c r="IT33" s="67"/>
      <c r="IU33" s="67"/>
      <c r="IV33" s="67"/>
    </row>
    <row r="34" spans="1:256" x14ac:dyDescent="0.2">
      <c r="A34" s="68"/>
      <c r="B34" s="69"/>
      <c r="C34" s="69"/>
      <c r="D34" s="69"/>
      <c r="E34" s="70"/>
      <c r="F34" s="73"/>
      <c r="G34" s="73"/>
      <c r="H34" s="73"/>
      <c r="I34" s="73"/>
      <c r="J34" s="73"/>
      <c r="K34" s="73"/>
      <c r="L34" s="61"/>
      <c r="M34" s="109"/>
      <c r="N34" s="63"/>
      <c r="O34" s="61"/>
      <c r="P34" s="110"/>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c r="EO34" s="67"/>
      <c r="EP34" s="67"/>
      <c r="EQ34" s="67"/>
      <c r="ER34" s="67"/>
      <c r="ES34" s="67"/>
      <c r="ET34" s="67"/>
      <c r="EU34" s="67"/>
      <c r="EV34" s="67"/>
      <c r="EW34" s="67"/>
      <c r="EX34" s="67"/>
      <c r="EY34" s="67"/>
      <c r="EZ34" s="67"/>
      <c r="FA34" s="67"/>
      <c r="FB34" s="67"/>
      <c r="FC34" s="67"/>
      <c r="FD34" s="67"/>
      <c r="FE34" s="67"/>
      <c r="FF34" s="67"/>
      <c r="FG34" s="67"/>
      <c r="FH34" s="67"/>
      <c r="FI34" s="67"/>
      <c r="FJ34" s="67"/>
      <c r="FK34" s="67"/>
      <c r="FL34" s="67"/>
      <c r="FM34" s="67"/>
      <c r="FN34" s="67"/>
      <c r="FO34" s="67"/>
      <c r="FP34" s="67"/>
      <c r="FQ34" s="67"/>
      <c r="FR34" s="67"/>
      <c r="FS34" s="67"/>
      <c r="FT34" s="67"/>
      <c r="FU34" s="67"/>
      <c r="FV34" s="67"/>
      <c r="FW34" s="67"/>
      <c r="FX34" s="67"/>
      <c r="FY34" s="67"/>
      <c r="FZ34" s="67"/>
      <c r="GA34" s="67"/>
      <c r="GB34" s="67"/>
      <c r="GC34" s="67"/>
      <c r="GD34" s="67"/>
      <c r="GE34" s="67"/>
      <c r="GF34" s="67"/>
      <c r="GG34" s="67"/>
      <c r="GH34" s="67"/>
      <c r="GI34" s="67"/>
      <c r="GJ34" s="67"/>
      <c r="GK34" s="67"/>
      <c r="GL34" s="67"/>
      <c r="GM34" s="67"/>
      <c r="GN34" s="67"/>
      <c r="GO34" s="67"/>
      <c r="GP34" s="67"/>
      <c r="GQ34" s="67"/>
      <c r="GR34" s="67"/>
      <c r="GS34" s="67"/>
      <c r="GT34" s="67"/>
      <c r="GU34" s="67"/>
      <c r="GV34" s="67"/>
      <c r="GW34" s="67"/>
      <c r="GX34" s="67"/>
      <c r="GY34" s="67"/>
      <c r="GZ34" s="67"/>
      <c r="HA34" s="67"/>
      <c r="HB34" s="67"/>
      <c r="HC34" s="67"/>
      <c r="HD34" s="67"/>
      <c r="HE34" s="67"/>
      <c r="HF34" s="67"/>
      <c r="HG34" s="67"/>
      <c r="HH34" s="67"/>
      <c r="HI34" s="67"/>
      <c r="HJ34" s="67"/>
      <c r="HK34" s="67"/>
      <c r="HL34" s="67"/>
      <c r="HM34" s="67"/>
      <c r="HN34" s="67"/>
      <c r="HO34" s="67"/>
      <c r="HP34" s="67"/>
      <c r="HQ34" s="67"/>
      <c r="HR34" s="67"/>
      <c r="HS34" s="67"/>
      <c r="HT34" s="67"/>
      <c r="HU34" s="67"/>
      <c r="HV34" s="67"/>
      <c r="HW34" s="67"/>
      <c r="HX34" s="67"/>
      <c r="HY34" s="67"/>
      <c r="HZ34" s="67"/>
      <c r="IA34" s="67"/>
      <c r="IB34" s="67"/>
      <c r="IC34" s="67"/>
      <c r="ID34" s="67"/>
      <c r="IE34" s="67"/>
      <c r="IF34" s="67"/>
      <c r="IG34" s="67"/>
      <c r="IH34" s="67"/>
      <c r="II34" s="67"/>
      <c r="IJ34" s="67"/>
      <c r="IK34" s="67"/>
      <c r="IL34" s="67"/>
      <c r="IM34" s="67"/>
      <c r="IN34" s="67"/>
      <c r="IO34" s="67"/>
      <c r="IP34" s="67"/>
      <c r="IQ34" s="67"/>
      <c r="IR34" s="67"/>
      <c r="IS34" s="67"/>
      <c r="IT34" s="67"/>
      <c r="IU34" s="67"/>
      <c r="IV34" s="67"/>
    </row>
    <row r="35" spans="1:256" x14ac:dyDescent="0.2">
      <c r="A35" s="57" t="str">
        <f>'Date Drivers'!B27</f>
        <v>Hardware Design Suffix</v>
      </c>
      <c r="B35" s="158"/>
      <c r="C35" s="43"/>
      <c r="D35" s="43"/>
      <c r="E35" s="49"/>
      <c r="F35" s="49"/>
      <c r="G35" s="49"/>
      <c r="H35" s="49"/>
      <c r="I35" s="49"/>
      <c r="J35" s="49"/>
      <c r="K35" s="49"/>
      <c r="L35" s="61"/>
      <c r="M35" s="109"/>
      <c r="N35" s="63"/>
      <c r="O35" s="61"/>
      <c r="P35" s="110"/>
    </row>
    <row r="36" spans="1:256" x14ac:dyDescent="0.2">
      <c r="A36" s="64" t="str">
        <f ca="1">Database!E34</f>
        <v>Initial version</v>
      </c>
      <c r="B36" s="65"/>
      <c r="C36" s="43"/>
      <c r="D36" s="43"/>
      <c r="E36" s="49"/>
      <c r="F36" s="49"/>
      <c r="G36" s="49"/>
      <c r="H36" s="49"/>
      <c r="I36" s="49"/>
      <c r="J36" s="49"/>
      <c r="K36" s="49"/>
      <c r="L36" s="111" t="str">
        <f ca="1">Database!F34</f>
        <v>A</v>
      </c>
      <c r="M36" s="108"/>
      <c r="N36" s="63"/>
      <c r="O36" s="61"/>
      <c r="P36" s="110"/>
    </row>
    <row r="37" spans="1:256" x14ac:dyDescent="0.2">
      <c r="A37" s="64"/>
      <c r="B37" s="65"/>
      <c r="C37" s="43"/>
      <c r="D37" s="43"/>
      <c r="E37" s="49"/>
      <c r="F37" s="49"/>
      <c r="G37" s="49"/>
      <c r="H37" s="49"/>
      <c r="I37" s="49"/>
      <c r="J37" s="49"/>
      <c r="K37" s="49"/>
      <c r="L37" s="74"/>
      <c r="M37" s="108"/>
      <c r="N37" s="63"/>
      <c r="O37" s="61"/>
      <c r="P37" s="110"/>
    </row>
    <row r="38" spans="1:256" x14ac:dyDescent="0.2">
      <c r="A38" s="112"/>
      <c r="B38" s="161"/>
      <c r="C38" s="113"/>
      <c r="D38" s="113"/>
      <c r="E38" s="114"/>
      <c r="F38" s="114"/>
      <c r="G38" s="114"/>
      <c r="H38" s="114"/>
      <c r="I38" s="114"/>
      <c r="J38" s="114"/>
      <c r="K38" s="114"/>
      <c r="L38" s="114"/>
      <c r="M38" s="89"/>
      <c r="N38" s="63"/>
      <c r="O38" s="61"/>
      <c r="P38" s="110"/>
    </row>
    <row r="39" spans="1:256" x14ac:dyDescent="0.2">
      <c r="A39" s="57" t="str">
        <f>'Date Drivers'!B29</f>
        <v>GPS Antenna</v>
      </c>
      <c r="B39" s="158"/>
      <c r="C39" s="43"/>
      <c r="D39" s="43"/>
      <c r="E39" s="49"/>
      <c r="F39" s="49"/>
      <c r="G39" s="49"/>
      <c r="H39" s="49"/>
      <c r="I39" s="49"/>
      <c r="J39" s="49"/>
      <c r="K39" s="49"/>
      <c r="L39" s="49"/>
      <c r="M39" s="49"/>
      <c r="N39" s="63"/>
      <c r="O39" s="61"/>
      <c r="P39" s="110"/>
    </row>
    <row r="40" spans="1:256" x14ac:dyDescent="0.2">
      <c r="A40" s="64" t="str">
        <f ca="1">Database!E37</f>
        <v>Without antenna</v>
      </c>
      <c r="B40" s="65"/>
      <c r="C40" s="43"/>
      <c r="D40" s="43"/>
      <c r="E40" s="49"/>
      <c r="F40" s="49"/>
      <c r="G40" s="49"/>
      <c r="H40" s="49"/>
      <c r="I40" s="49"/>
      <c r="J40" s="49"/>
      <c r="K40" s="49"/>
      <c r="L40" s="49"/>
      <c r="M40" s="49"/>
      <c r="N40" s="72">
        <f ca="1">Database!F37</f>
        <v>0</v>
      </c>
      <c r="O40" s="61"/>
      <c r="P40" s="110"/>
    </row>
    <row r="41" spans="1:256" x14ac:dyDescent="0.2">
      <c r="A41" s="64" t="str">
        <f ca="1">Database!E38</f>
        <v>3.3V TNC Female active GNSS antenna</v>
      </c>
      <c r="B41" s="65"/>
      <c r="C41" s="43"/>
      <c r="D41" s="43"/>
      <c r="E41" s="49"/>
      <c r="F41" s="49"/>
      <c r="G41" s="49"/>
      <c r="H41" s="49"/>
      <c r="I41" s="49"/>
      <c r="J41" s="49"/>
      <c r="K41" s="49"/>
      <c r="L41" s="49"/>
      <c r="M41" s="49"/>
      <c r="N41" s="72">
        <f ca="1">Database!F38</f>
        <v>2</v>
      </c>
      <c r="O41" s="61"/>
      <c r="P41" s="110"/>
    </row>
    <row r="42" spans="1:256" x14ac:dyDescent="0.2">
      <c r="A42" s="115"/>
      <c r="B42" s="77"/>
      <c r="C42" s="77"/>
      <c r="D42" s="77"/>
      <c r="E42" s="85"/>
      <c r="F42" s="85"/>
      <c r="G42" s="85"/>
      <c r="H42" s="85"/>
      <c r="I42" s="85"/>
      <c r="J42" s="85"/>
      <c r="K42" s="85"/>
      <c r="L42" s="85"/>
      <c r="M42" s="85"/>
      <c r="N42" s="85"/>
      <c r="O42" s="61"/>
      <c r="P42" s="110"/>
    </row>
    <row r="43" spans="1:256" x14ac:dyDescent="0.2">
      <c r="A43" s="57" t="str">
        <f>'Date Drivers'!B32</f>
        <v>Antenna Cable</v>
      </c>
      <c r="B43" s="158"/>
      <c r="C43" s="43"/>
      <c r="D43" s="43"/>
      <c r="E43" s="49"/>
      <c r="F43" s="49"/>
      <c r="G43" s="49"/>
      <c r="H43" s="49"/>
      <c r="I43" s="49"/>
      <c r="J43" s="49"/>
      <c r="K43" s="49"/>
      <c r="L43" s="49"/>
      <c r="M43" s="49"/>
      <c r="N43" s="49"/>
      <c r="O43" s="61"/>
      <c r="P43" s="110"/>
    </row>
    <row r="44" spans="1:256" x14ac:dyDescent="0.2">
      <c r="A44" s="64" t="str">
        <f ca="1">Database!E41</f>
        <v>No cable</v>
      </c>
      <c r="B44" s="65"/>
      <c r="C44" s="43"/>
      <c r="D44" s="43"/>
      <c r="E44" s="49"/>
      <c r="F44" s="49"/>
      <c r="G44" s="49"/>
      <c r="H44" s="49"/>
      <c r="I44" s="49"/>
      <c r="J44" s="49"/>
      <c r="K44" s="49"/>
      <c r="L44" s="49"/>
      <c r="M44" s="49"/>
      <c r="N44" s="49"/>
      <c r="O44" s="72">
        <f ca="1">Database!$F41</f>
        <v>0</v>
      </c>
      <c r="P44" s="110"/>
    </row>
    <row r="45" spans="1:256" x14ac:dyDescent="0.2">
      <c r="A45" s="64" t="str">
        <f ca="1">Database!E42</f>
        <v>15 m (50 ft) TNC Male to BNC Male (Attennuation &lt; 0.5 dB/m @ 1500 MHZ)</v>
      </c>
      <c r="B45" s="65"/>
      <c r="C45" s="43"/>
      <c r="D45" s="43"/>
      <c r="E45" s="49"/>
      <c r="F45" s="49"/>
      <c r="G45" s="49"/>
      <c r="H45" s="49"/>
      <c r="I45" s="49"/>
      <c r="J45" s="49"/>
      <c r="K45" s="49"/>
      <c r="L45" s="49"/>
      <c r="M45" s="49"/>
      <c r="N45" s="49"/>
      <c r="O45" s="72">
        <f ca="1">Database!$F42</f>
        <v>1</v>
      </c>
      <c r="P45" s="110"/>
    </row>
    <row r="46" spans="1:256" x14ac:dyDescent="0.2">
      <c r="A46" s="64" t="str">
        <f ca="1">Database!E43</f>
        <v>25 m (82 ft) TNC Male to BNC Male (Attennuation &lt; 0.5 dB/m @ 1500 MHZ)</v>
      </c>
      <c r="B46" s="65"/>
      <c r="C46" s="43"/>
      <c r="D46" s="43"/>
      <c r="E46" s="49"/>
      <c r="F46" s="49"/>
      <c r="G46" s="49"/>
      <c r="H46" s="49"/>
      <c r="I46" s="49"/>
      <c r="J46" s="49"/>
      <c r="K46" s="49"/>
      <c r="L46" s="49"/>
      <c r="M46" s="49"/>
      <c r="N46" s="49"/>
      <c r="O46" s="72">
        <f ca="1">Database!$F43</f>
        <v>2</v>
      </c>
      <c r="P46" s="110"/>
    </row>
    <row r="47" spans="1:256" x14ac:dyDescent="0.2">
      <c r="A47" s="64" t="str">
        <f ca="1">Database!E44</f>
        <v>40 m (131 ft) TNC Male to BNC Male (Attennuation &lt; 0.5 dB/m @ 1500 MHZ)</v>
      </c>
      <c r="B47" s="65"/>
      <c r="C47" s="43"/>
      <c r="D47" s="43"/>
      <c r="E47" s="49"/>
      <c r="F47" s="49"/>
      <c r="G47" s="49"/>
      <c r="H47" s="49"/>
      <c r="I47" s="49"/>
      <c r="J47" s="49"/>
      <c r="K47" s="49"/>
      <c r="L47" s="49"/>
      <c r="M47" s="49"/>
      <c r="N47" s="49"/>
      <c r="O47" s="72">
        <f ca="1">Database!$F44</f>
        <v>3</v>
      </c>
      <c r="P47" s="110"/>
    </row>
    <row r="48" spans="1:256" x14ac:dyDescent="0.2">
      <c r="A48" s="64" t="str">
        <f ca="1">Database!E45</f>
        <v>75 m (246 ft) TNC Male to BNC Male (Attennuation &lt; 0.2 dB/m @ 1500 MHZ)</v>
      </c>
      <c r="B48" s="65"/>
      <c r="C48" s="43"/>
      <c r="D48" s="43"/>
      <c r="E48" s="49"/>
      <c r="F48" s="49"/>
      <c r="G48" s="49"/>
      <c r="H48" s="49"/>
      <c r="I48" s="49"/>
      <c r="J48" s="49"/>
      <c r="K48" s="49"/>
      <c r="L48" s="49"/>
      <c r="M48" s="49"/>
      <c r="N48" s="49"/>
      <c r="O48" s="72">
        <f ca="1">Database!$F45</f>
        <v>4</v>
      </c>
      <c r="P48" s="110"/>
    </row>
    <row r="49" spans="1:16" x14ac:dyDescent="0.2">
      <c r="A49" s="64" t="str">
        <f ca="1">Database!E46</f>
        <v>100 m (328 ft) TNC Male to BNC Male (Attennuation &lt; 0.2 dB/m @ 1500 MHZ)</v>
      </c>
      <c r="B49" s="65"/>
      <c r="C49" s="43"/>
      <c r="D49" s="43"/>
      <c r="E49" s="49"/>
      <c r="F49" s="49"/>
      <c r="G49" s="49"/>
      <c r="H49" s="49"/>
      <c r="I49" s="49"/>
      <c r="J49" s="49"/>
      <c r="K49" s="49"/>
      <c r="L49" s="49"/>
      <c r="M49" s="49"/>
      <c r="N49" s="49"/>
      <c r="O49" s="72">
        <f ca="1">Database!$F46</f>
        <v>5</v>
      </c>
      <c r="P49" s="110"/>
    </row>
    <row r="50" spans="1:16" x14ac:dyDescent="0.2">
      <c r="A50" s="64" t="str">
        <f ca="1">Database!E47</f>
        <v>150 m (492 ft) TNC Male to BNC Male (Attennuation &lt; 0.2 dB/m @ 1500 MHZ)</v>
      </c>
      <c r="B50" s="65"/>
      <c r="C50" s="43"/>
      <c r="D50" s="43"/>
      <c r="E50" s="49"/>
      <c r="F50" s="49"/>
      <c r="G50" s="49"/>
      <c r="H50" s="49"/>
      <c r="I50" s="49"/>
      <c r="J50" s="49"/>
      <c r="K50" s="49"/>
      <c r="L50" s="49"/>
      <c r="M50" s="49"/>
      <c r="N50" s="49"/>
      <c r="O50" s="72">
        <f ca="1">Database!$F47</f>
        <v>6</v>
      </c>
      <c r="P50" s="110"/>
    </row>
    <row r="51" spans="1:16" x14ac:dyDescent="0.2">
      <c r="A51" s="68"/>
      <c r="B51" s="69"/>
      <c r="C51" s="77"/>
      <c r="D51" s="77"/>
      <c r="E51" s="85"/>
      <c r="F51" s="85"/>
      <c r="G51" s="85"/>
      <c r="H51" s="85"/>
      <c r="I51" s="85"/>
      <c r="J51" s="85"/>
      <c r="K51" s="85"/>
      <c r="L51" s="85"/>
      <c r="M51" s="85"/>
      <c r="N51" s="85"/>
      <c r="O51" s="73"/>
      <c r="P51" s="110"/>
    </row>
    <row r="52" spans="1:16" x14ac:dyDescent="0.2">
      <c r="A52" s="57" t="str">
        <f>'Date Drivers'!B39</f>
        <v>Surge Arrester</v>
      </c>
      <c r="B52" s="158"/>
      <c r="C52" s="43"/>
      <c r="D52" s="43"/>
      <c r="E52" s="49"/>
      <c r="F52" s="49"/>
      <c r="G52" s="49"/>
      <c r="H52" s="49"/>
      <c r="I52" s="49"/>
      <c r="J52" s="49"/>
      <c r="K52" s="49"/>
      <c r="L52" s="49"/>
      <c r="M52" s="49"/>
      <c r="N52" s="49"/>
      <c r="O52" s="49"/>
      <c r="P52" s="110"/>
    </row>
    <row r="53" spans="1:16" x14ac:dyDescent="0.2">
      <c r="A53" s="64" t="str">
        <f ca="1">Database!E49</f>
        <v>Without surge arrester</v>
      </c>
      <c r="B53" s="65"/>
      <c r="C53" s="43"/>
      <c r="D53" s="43"/>
      <c r="E53" s="49"/>
      <c r="F53" s="49"/>
      <c r="G53" s="49"/>
      <c r="H53" s="49"/>
      <c r="I53" s="49"/>
      <c r="J53" s="49"/>
      <c r="K53" s="49"/>
      <c r="L53" s="49"/>
      <c r="M53" s="49"/>
      <c r="N53" s="49"/>
      <c r="O53" s="49"/>
      <c r="P53" s="72">
        <f ca="1">Database!$F49</f>
        <v>0</v>
      </c>
    </row>
    <row r="54" spans="1:16" x14ac:dyDescent="0.2">
      <c r="A54" s="116" t="str">
        <f ca="1">Database!E50</f>
        <v>10 kA, 50 Ohms, BNC-type connector Surge Arrester for 0-2000 MHz</v>
      </c>
      <c r="B54" s="43"/>
      <c r="C54" s="43"/>
      <c r="D54" s="43"/>
      <c r="E54" s="49"/>
      <c r="F54" s="49"/>
      <c r="G54" s="49"/>
      <c r="H54" s="49"/>
      <c r="I54" s="49"/>
      <c r="J54" s="49"/>
      <c r="K54" s="49"/>
      <c r="L54" s="49"/>
      <c r="M54" s="49"/>
      <c r="N54" s="49"/>
      <c r="O54" s="49"/>
      <c r="P54" s="72">
        <f ca="1">Database!$F50</f>
        <v>1</v>
      </c>
    </row>
    <row r="55" spans="1:16" x14ac:dyDescent="0.2">
      <c r="A55" s="115"/>
      <c r="B55" s="77"/>
      <c r="C55" s="77"/>
      <c r="D55" s="77"/>
      <c r="E55" s="85"/>
      <c r="F55" s="85"/>
      <c r="G55" s="85"/>
      <c r="H55" s="85"/>
      <c r="I55" s="85"/>
      <c r="J55" s="85"/>
      <c r="K55" s="85"/>
      <c r="L55" s="85"/>
      <c r="M55" s="85"/>
      <c r="N55" s="85"/>
      <c r="O55" s="85"/>
      <c r="P55" s="89"/>
    </row>
    <row r="57" spans="1:16" x14ac:dyDescent="0.2">
      <c r="A57" s="50" t="str">
        <f>CONCATENATE("* ",HLOOKUP(Language!$C$3,Language!$E$1:$Z565,71,FALSE))</f>
        <v>* Option only available if "N" or "P" selected in Ethernet Interface 1 and 2</v>
      </c>
    </row>
    <row r="58" spans="1:16" x14ac:dyDescent="0.2">
      <c r="A58" s="50" t="str">
        <f>CONCATENATE("** ",HLOOKUP(Language!$C$3,Language!$E$1:$Z565,72,FALSE))</f>
        <v>** Option only available if "P" selected in Ethernet Interface 1 and 2</v>
      </c>
    </row>
  </sheetData>
  <sheetProtection algorithmName="SHA-512" hashValue="ZTY2IMETm5euQ4M2nToPcHYTQopQDZY/BrYmogiH/9eNft9IqlNxMJE2c+LJo2+xWtZabN/tLWcsl0zzOPv9iQ==" saltValue="vPs3QYIj9Ny+qXMXLcGZAg==" spinCount="100000" sheet="1" objects="1" scenarios="1"/>
  <mergeCells count="2">
    <mergeCell ref="N4:P4"/>
    <mergeCell ref="C4:J4"/>
  </mergeCells>
  <pageMargins left="0.7" right="0.7" top="0.75" bottom="0.75" header="0.3" footer="0.3"/>
  <pageSetup paperSize="9" orientation="landscape"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R34"/>
  <sheetViews>
    <sheetView showGridLines="0" showRowColHeaders="0" zoomScaleNormal="100" workbookViewId="0">
      <pane ySplit="4" topLeftCell="A5" activePane="bottomLeft" state="frozen"/>
      <selection pane="bottomLeft" activeCell="T10" sqref="T10"/>
    </sheetView>
  </sheetViews>
  <sheetFormatPr defaultRowHeight="14.25" x14ac:dyDescent="0.2"/>
  <cols>
    <col min="1" max="4" width="9.140625" style="2"/>
    <col min="5" max="5" width="26.42578125" style="2" customWidth="1"/>
    <col min="6" max="6" width="9.7109375" style="2" bestFit="1" customWidth="1"/>
    <col min="7" max="16" width="5.7109375" style="23" customWidth="1"/>
    <col min="17" max="17" width="5.140625" style="2" customWidth="1"/>
    <col min="18" max="18" width="13.5703125" style="245" bestFit="1" customWidth="1"/>
    <col min="19" max="16384" width="9.140625" style="2"/>
  </cols>
  <sheetData>
    <row r="1" spans="1:18" ht="21" thickBot="1" x14ac:dyDescent="0.35">
      <c r="A1" s="277" t="str">
        <f>HLOOKUP(Language!$C$3,Language!$E$1:$Z567,76,FALSE)</f>
        <v>THIS CORTEC FILE HAS BEEN REPLACED BY THE RT434 GNSS CORTEC FILE</v>
      </c>
    </row>
    <row r="2" spans="1:18" ht="18" x14ac:dyDescent="0.25">
      <c r="A2" s="239" t="str">
        <f ca="1">Database!E2</f>
        <v>RT434 GPS Precision-Time Clock</v>
      </c>
      <c r="B2" s="79"/>
      <c r="C2" s="79"/>
      <c r="D2" s="79"/>
      <c r="E2" s="79"/>
      <c r="F2" s="79"/>
      <c r="G2" s="128"/>
      <c r="H2" s="128"/>
      <c r="I2" s="128"/>
      <c r="J2" s="128"/>
      <c r="K2" s="128"/>
      <c r="L2" s="128"/>
      <c r="M2" s="128"/>
      <c r="N2" s="128"/>
      <c r="O2" s="128"/>
      <c r="P2" s="128"/>
      <c r="Q2" s="80"/>
      <c r="R2" s="242"/>
    </row>
    <row r="3" spans="1:18" x14ac:dyDescent="0.2">
      <c r="A3" s="129"/>
      <c r="B3" s="38"/>
      <c r="C3" s="38"/>
      <c r="D3" s="38"/>
      <c r="E3" s="38"/>
      <c r="F3" s="48" t="s">
        <v>7</v>
      </c>
      <c r="G3" s="246">
        <v>6</v>
      </c>
      <c r="H3" s="246">
        <v>7</v>
      </c>
      <c r="I3" s="246">
        <v>8</v>
      </c>
      <c r="J3" s="246">
        <v>9</v>
      </c>
      <c r="K3" s="246">
        <v>10</v>
      </c>
      <c r="L3" s="247" t="s">
        <v>16</v>
      </c>
      <c r="M3" s="246">
        <v>13</v>
      </c>
      <c r="N3" s="248">
        <v>14</v>
      </c>
      <c r="O3" s="248">
        <v>15</v>
      </c>
      <c r="P3" s="248">
        <v>16</v>
      </c>
      <c r="Q3" s="44"/>
      <c r="R3" s="243"/>
    </row>
    <row r="4" spans="1:18" s="36" customFormat="1" ht="18" x14ac:dyDescent="0.25">
      <c r="A4" s="130"/>
      <c r="B4" s="39"/>
      <c r="C4" s="39"/>
      <c r="D4" s="39"/>
      <c r="E4" s="40"/>
      <c r="F4" s="37" t="s">
        <v>198</v>
      </c>
      <c r="G4" s="24">
        <f ca="1">$G$6</f>
        <v>3</v>
      </c>
      <c r="H4" s="24">
        <f ca="1">$G$8</f>
        <v>1</v>
      </c>
      <c r="I4" s="24" t="str">
        <f ca="1">$G$10</f>
        <v>P</v>
      </c>
      <c r="J4" s="24" t="str">
        <f ca="1">$G$12</f>
        <v>N</v>
      </c>
      <c r="K4" s="24" t="str">
        <f ca="1">$G$14</f>
        <v>C</v>
      </c>
      <c r="L4" s="24" t="str">
        <f ca="1">$G$16</f>
        <v>08</v>
      </c>
      <c r="M4" s="24" t="str">
        <f ca="1">$G$18</f>
        <v>A</v>
      </c>
      <c r="N4" s="24">
        <f ca="1">$G$20</f>
        <v>2</v>
      </c>
      <c r="O4" s="24">
        <f ca="1">$G$22</f>
        <v>2</v>
      </c>
      <c r="P4" s="24">
        <f ca="1">$G$24</f>
        <v>0</v>
      </c>
      <c r="Q4" s="131"/>
      <c r="R4" s="243"/>
    </row>
    <row r="5" spans="1:18" ht="18" customHeight="1" x14ac:dyDescent="0.25">
      <c r="A5" s="132" t="str">
        <f ca="1">Database!$B$5</f>
        <v>Power Supply 1</v>
      </c>
      <c r="B5" s="47"/>
      <c r="C5" s="42"/>
      <c r="D5" s="42"/>
      <c r="E5" s="42"/>
      <c r="F5" s="42"/>
      <c r="G5" s="35"/>
      <c r="H5" s="25"/>
      <c r="I5" s="25"/>
      <c r="J5" s="26"/>
      <c r="K5" s="25"/>
      <c r="L5" s="27"/>
      <c r="M5" s="26"/>
      <c r="N5" s="249"/>
      <c r="O5" s="250"/>
      <c r="P5" s="251"/>
      <c r="Q5" s="44"/>
      <c r="R5" s="243"/>
    </row>
    <row r="6" spans="1:18" ht="26.25" customHeight="1" x14ac:dyDescent="0.2">
      <c r="A6" s="133"/>
      <c r="B6" s="42"/>
      <c r="C6" s="42"/>
      <c r="D6" s="81"/>
      <c r="E6" s="42"/>
      <c r="F6" s="42"/>
      <c r="G6" s="24">
        <f ca="1">Database!$F$5</f>
        <v>3</v>
      </c>
      <c r="H6" s="25"/>
      <c r="I6" s="25"/>
      <c r="J6" s="26"/>
      <c r="K6" s="25"/>
      <c r="L6" s="27"/>
      <c r="M6" s="26"/>
      <c r="N6" s="249"/>
      <c r="O6" s="250"/>
      <c r="P6" s="251"/>
      <c r="Q6" s="44"/>
      <c r="R6" s="244" t="str">
        <f ca="1">IF(INDEX(Database!H:H,MATCH(1,Database!A:A))="N",HLOOKUP(Language!$C$3,Language!$E$1:$Z500,37,FALSE),"")</f>
        <v/>
      </c>
    </row>
    <row r="7" spans="1:18" ht="18" customHeight="1" x14ac:dyDescent="0.2">
      <c r="A7" s="132" t="str">
        <f ca="1">Database!B9</f>
        <v>Power Supply 2</v>
      </c>
      <c r="B7" s="42"/>
      <c r="C7" s="42"/>
      <c r="D7" s="42"/>
      <c r="E7" s="42"/>
      <c r="F7" s="42"/>
      <c r="G7" s="32"/>
      <c r="H7" s="25"/>
      <c r="I7" s="25"/>
      <c r="J7" s="26"/>
      <c r="K7" s="25"/>
      <c r="L7" s="27"/>
      <c r="M7" s="26"/>
      <c r="N7" s="249"/>
      <c r="O7" s="250"/>
      <c r="P7" s="251"/>
      <c r="Q7" s="44"/>
      <c r="R7" s="243"/>
    </row>
    <row r="8" spans="1:18" ht="36" customHeight="1" x14ac:dyDescent="0.2">
      <c r="A8" s="133"/>
      <c r="B8" s="42"/>
      <c r="C8" s="42"/>
      <c r="D8" s="42"/>
      <c r="E8" s="42"/>
      <c r="F8" s="42"/>
      <c r="G8" s="28">
        <f ca="1">Database!$F$9</f>
        <v>1</v>
      </c>
      <c r="H8" s="25"/>
      <c r="I8" s="25"/>
      <c r="J8" s="26"/>
      <c r="K8" s="25"/>
      <c r="L8" s="27"/>
      <c r="M8" s="26"/>
      <c r="N8" s="249"/>
      <c r="O8" s="250"/>
      <c r="P8" s="251"/>
      <c r="Q8" s="44"/>
      <c r="R8" s="244" t="str">
        <f ca="1">IF(INDEX(Database!H:H,MATCH(2,Database!A:A))="N",HLOOKUP(Language!$C$3,Language!$E$1:$Z502,37,FALSE),"")</f>
        <v/>
      </c>
    </row>
    <row r="9" spans="1:18" ht="18" customHeight="1" x14ac:dyDescent="0.2">
      <c r="A9" s="132" t="str">
        <f ca="1">Database!B14</f>
        <v>Ethernet Interface 1 and 2</v>
      </c>
      <c r="B9" s="83"/>
      <c r="C9" s="42"/>
      <c r="D9" s="42"/>
      <c r="E9" s="42"/>
      <c r="F9" s="42"/>
      <c r="G9" s="33"/>
      <c r="H9" s="29"/>
      <c r="I9" s="25"/>
      <c r="J9" s="26"/>
      <c r="K9" s="25"/>
      <c r="L9" s="27"/>
      <c r="M9" s="26"/>
      <c r="N9" s="249"/>
      <c r="O9" s="250"/>
      <c r="P9" s="251"/>
      <c r="Q9" s="44"/>
      <c r="R9" s="243"/>
    </row>
    <row r="10" spans="1:18" ht="36" customHeight="1" x14ac:dyDescent="0.2">
      <c r="A10" s="133"/>
      <c r="B10" s="42"/>
      <c r="C10" s="42"/>
      <c r="D10" s="42"/>
      <c r="E10" s="42"/>
      <c r="F10" s="42"/>
      <c r="G10" s="28" t="str">
        <f ca="1">Database!$F$14</f>
        <v>P</v>
      </c>
      <c r="H10" s="82"/>
      <c r="I10" s="25"/>
      <c r="J10" s="26"/>
      <c r="K10" s="25"/>
      <c r="L10" s="27"/>
      <c r="M10" s="26"/>
      <c r="N10" s="249"/>
      <c r="O10" s="250"/>
      <c r="P10" s="251"/>
      <c r="Q10" s="44"/>
      <c r="R10" s="244" t="str">
        <f ca="1">IF(INDEX(Database!H:H,MATCH(3,Database!A:A))="N",HLOOKUP(Language!$C$3,Language!$E$1:$Z504,37,FALSE),"")</f>
        <v/>
      </c>
    </row>
    <row r="11" spans="1:18" ht="18" customHeight="1" x14ac:dyDescent="0.25">
      <c r="A11" s="132" t="str">
        <f ca="1">Database!B19</f>
        <v>Ethernet Interface 3 and 4</v>
      </c>
      <c r="B11" s="47"/>
      <c r="C11" s="84"/>
      <c r="D11" s="42"/>
      <c r="E11" s="42"/>
      <c r="F11" s="42"/>
      <c r="G11" s="34"/>
      <c r="H11" s="30"/>
      <c r="I11" s="30"/>
      <c r="J11" s="26"/>
      <c r="K11" s="25"/>
      <c r="L11" s="27"/>
      <c r="M11" s="26"/>
      <c r="N11" s="249"/>
      <c r="O11" s="250"/>
      <c r="P11" s="251"/>
      <c r="Q11" s="44"/>
      <c r="R11" s="243"/>
    </row>
    <row r="12" spans="1:18" ht="36" customHeight="1" x14ac:dyDescent="0.2">
      <c r="A12" s="133"/>
      <c r="B12" s="42"/>
      <c r="C12" s="42"/>
      <c r="D12" s="42"/>
      <c r="E12" s="42"/>
      <c r="F12" s="42"/>
      <c r="G12" s="91" t="str">
        <f ca="1">Database!$F$19</f>
        <v>N</v>
      </c>
      <c r="H12" s="90"/>
      <c r="I12" s="92"/>
      <c r="J12" s="26"/>
      <c r="K12" s="25"/>
      <c r="L12" s="27"/>
      <c r="M12" s="26"/>
      <c r="N12" s="249"/>
      <c r="O12" s="250"/>
      <c r="P12" s="251"/>
      <c r="Q12" s="44"/>
      <c r="R12" s="244" t="str">
        <f ca="1">IF(INDEX(Database!H:H,MATCH(4,Database!A:A))="N",HLOOKUP(Language!$C$3,Language!$E$1:$Z506,37,FALSE),"")</f>
        <v/>
      </c>
    </row>
    <row r="13" spans="1:18" ht="17.25" customHeight="1" x14ac:dyDescent="0.2">
      <c r="A13" s="132" t="str">
        <f ca="1">Database!$B$24</f>
        <v>Customization / Regionalisation</v>
      </c>
      <c r="B13" s="42"/>
      <c r="C13" s="42"/>
      <c r="D13" s="42"/>
      <c r="E13" s="42"/>
      <c r="F13" s="42"/>
      <c r="G13" s="33"/>
      <c r="H13" s="29"/>
      <c r="I13" s="29"/>
      <c r="J13" s="29"/>
      <c r="K13" s="25"/>
      <c r="L13" s="27"/>
      <c r="M13" s="26"/>
      <c r="N13" s="249"/>
      <c r="O13" s="250"/>
      <c r="P13" s="251"/>
      <c r="Q13" s="44"/>
      <c r="R13" s="243"/>
    </row>
    <row r="14" spans="1:18" ht="26.25" customHeight="1" x14ac:dyDescent="0.2">
      <c r="A14" s="133"/>
      <c r="B14" s="42"/>
      <c r="C14" s="42"/>
      <c r="D14" s="42"/>
      <c r="E14" s="42"/>
      <c r="F14" s="42"/>
      <c r="G14" s="28" t="str">
        <f ca="1">Database!$F$24</f>
        <v>C</v>
      </c>
      <c r="H14" s="82"/>
      <c r="I14" s="82"/>
      <c r="J14" s="82"/>
      <c r="K14" s="25"/>
      <c r="L14" s="27"/>
      <c r="M14" s="26"/>
      <c r="N14" s="249"/>
      <c r="O14" s="250"/>
      <c r="P14" s="251"/>
      <c r="Q14" s="44"/>
      <c r="R14" s="244" t="str">
        <f ca="1">IF(INDEX(Database!H:H,MATCH(5,Database!A:A))="N",HLOOKUP(Language!$C$3,Language!$E$1:$Z508,37,FALSE),"")</f>
        <v/>
      </c>
    </row>
    <row r="15" spans="1:18" ht="18" customHeight="1" x14ac:dyDescent="0.2">
      <c r="A15" s="132" t="str">
        <f ca="1">Database!$B$28</f>
        <v>Firmware Version</v>
      </c>
      <c r="B15" s="42"/>
      <c r="C15" s="42"/>
      <c r="D15" s="42"/>
      <c r="E15" s="42"/>
      <c r="F15" s="42"/>
      <c r="G15" s="94"/>
      <c r="H15" s="31"/>
      <c r="I15" s="31"/>
      <c r="J15" s="31"/>
      <c r="K15" s="31"/>
      <c r="L15" s="27"/>
      <c r="M15" s="26"/>
      <c r="N15" s="249"/>
      <c r="O15" s="250"/>
      <c r="P15" s="251"/>
      <c r="Q15" s="44"/>
      <c r="R15" s="243"/>
    </row>
    <row r="16" spans="1:18" ht="36" customHeight="1" x14ac:dyDescent="0.2">
      <c r="A16" s="133"/>
      <c r="B16" s="42"/>
      <c r="C16" s="42"/>
      <c r="D16" s="42"/>
      <c r="E16" s="42"/>
      <c r="F16" s="42"/>
      <c r="G16" s="24" t="str">
        <f ca="1">Database!$F$28</f>
        <v>08</v>
      </c>
      <c r="H16" s="93"/>
      <c r="I16" s="87"/>
      <c r="J16" s="87"/>
      <c r="K16" s="87"/>
      <c r="L16" s="88"/>
      <c r="M16" s="26"/>
      <c r="N16" s="249"/>
      <c r="O16" s="250"/>
      <c r="P16" s="251"/>
      <c r="Q16" s="44"/>
      <c r="R16" s="244" t="str">
        <f ca="1">IF(INDEX(Database!H:H,MATCH(6,Database!A:A))="N",HLOOKUP(Language!$C$3,Language!$E$1:$Z510,37,FALSE),"")</f>
        <v/>
      </c>
    </row>
    <row r="17" spans="1:18" ht="18" customHeight="1" x14ac:dyDescent="0.2">
      <c r="A17" s="132" t="str">
        <f ca="1">Database!$B$33</f>
        <v>Hardware Design Suffix</v>
      </c>
      <c r="B17" s="42"/>
      <c r="C17" s="42"/>
      <c r="D17" s="42"/>
      <c r="E17" s="42"/>
      <c r="F17" s="42"/>
      <c r="G17" s="104"/>
      <c r="H17" s="30"/>
      <c r="I17" s="30"/>
      <c r="J17" s="30"/>
      <c r="K17" s="30"/>
      <c r="L17" s="30"/>
      <c r="M17" s="26"/>
      <c r="N17" s="249"/>
      <c r="O17" s="250"/>
      <c r="P17" s="251"/>
      <c r="Q17" s="44"/>
      <c r="R17" s="243"/>
    </row>
    <row r="18" spans="1:18" ht="24" customHeight="1" x14ac:dyDescent="0.2">
      <c r="A18" s="133"/>
      <c r="B18" s="42"/>
      <c r="C18" s="42"/>
      <c r="D18" s="42"/>
      <c r="E18" s="42"/>
      <c r="F18" s="42"/>
      <c r="G18" s="24" t="str">
        <f ca="1">Database!$F$33</f>
        <v>A</v>
      </c>
      <c r="H18" s="92"/>
      <c r="I18" s="92"/>
      <c r="J18" s="92"/>
      <c r="K18" s="92"/>
      <c r="L18" s="92"/>
      <c r="M18" s="103"/>
      <c r="N18" s="249"/>
      <c r="O18" s="250"/>
      <c r="P18" s="251"/>
      <c r="Q18" s="44"/>
      <c r="R18" s="244" t="str">
        <f ca="1">IF(INDEX(Database!H:H,MATCH(7,Database!A:A))="N",HLOOKUP(Language!$C$3,Language!$E$1:$Z512,37,FALSE),"")</f>
        <v/>
      </c>
    </row>
    <row r="19" spans="1:18" ht="18" customHeight="1" x14ac:dyDescent="0.2">
      <c r="A19" s="132" t="str">
        <f ca="1">Database!$B$36</f>
        <v>GPS Antenna</v>
      </c>
      <c r="B19" s="42"/>
      <c r="C19" s="42"/>
      <c r="D19" s="42"/>
      <c r="E19" s="42"/>
      <c r="F19" s="42"/>
      <c r="G19" s="127"/>
      <c r="H19" s="119"/>
      <c r="I19" s="119"/>
      <c r="J19" s="119"/>
      <c r="K19" s="119"/>
      <c r="L19" s="119"/>
      <c r="M19" s="119"/>
      <c r="N19" s="249"/>
      <c r="O19" s="250"/>
      <c r="P19" s="251"/>
      <c r="Q19" s="44"/>
      <c r="R19" s="243"/>
    </row>
    <row r="20" spans="1:18" s="42" customFormat="1" ht="24" customHeight="1" x14ac:dyDescent="0.2">
      <c r="A20" s="133"/>
      <c r="G20" s="24">
        <f ca="1">Database!$F$36</f>
        <v>2</v>
      </c>
      <c r="H20" s="124"/>
      <c r="I20" s="124"/>
      <c r="J20" s="124"/>
      <c r="K20" s="124"/>
      <c r="L20" s="124"/>
      <c r="M20" s="124"/>
      <c r="N20" s="252"/>
      <c r="O20" s="250"/>
      <c r="P20" s="251"/>
      <c r="Q20" s="44"/>
      <c r="R20" s="244" t="str">
        <f ca="1">IF(INDEX(Database!H:H,MATCH(8,Database!A:A))="N",HLOOKUP(Language!$C$3,Language!$E$1:$Z514,37,FALSE),"")</f>
        <v/>
      </c>
    </row>
    <row r="21" spans="1:18" ht="15.75" x14ac:dyDescent="0.2">
      <c r="A21" s="132" t="str">
        <f ca="1">Database!$B$40</f>
        <v>Antenna Cable</v>
      </c>
      <c r="B21" s="42"/>
      <c r="C21" s="42"/>
      <c r="D21" s="42"/>
      <c r="E21" s="42"/>
      <c r="F21" s="42"/>
      <c r="G21" s="126"/>
      <c r="H21" s="120"/>
      <c r="I21" s="120"/>
      <c r="J21" s="120"/>
      <c r="K21" s="120"/>
      <c r="L21" s="120"/>
      <c r="M21" s="120"/>
      <c r="N21" s="120"/>
      <c r="O21" s="250"/>
      <c r="P21" s="251"/>
      <c r="Q21" s="44"/>
      <c r="R21" s="243"/>
    </row>
    <row r="22" spans="1:18" ht="74.25" customHeight="1" x14ac:dyDescent="0.2">
      <c r="A22" s="133"/>
      <c r="B22" s="42"/>
      <c r="C22" s="42"/>
      <c r="D22" s="42"/>
      <c r="E22" s="42"/>
      <c r="F22" s="42"/>
      <c r="G22" s="24">
        <f ca="1">Database!$F$40</f>
        <v>2</v>
      </c>
      <c r="H22" s="123"/>
      <c r="I22" s="123"/>
      <c r="J22" s="123"/>
      <c r="K22" s="123"/>
      <c r="L22" s="123"/>
      <c r="M22" s="123"/>
      <c r="N22" s="123"/>
      <c r="O22" s="253"/>
      <c r="P22" s="251"/>
      <c r="Q22" s="44"/>
      <c r="R22" s="244" t="str">
        <f ca="1">IF(INDEX(Database!H:H,MATCH(9,Database!A:A))="N",HLOOKUP(Language!$C$3,Language!$E$1:$Z516,37,FALSE),"")</f>
        <v/>
      </c>
    </row>
    <row r="23" spans="1:18" ht="18" customHeight="1" x14ac:dyDescent="0.2">
      <c r="A23" s="132" t="str">
        <f ca="1">Database!B48</f>
        <v>Surge Arrester</v>
      </c>
      <c r="B23" s="42"/>
      <c r="C23" s="42"/>
      <c r="D23" s="42"/>
      <c r="E23" s="42"/>
      <c r="F23" s="42"/>
      <c r="G23" s="125"/>
      <c r="H23" s="121"/>
      <c r="I23" s="121"/>
      <c r="J23" s="121"/>
      <c r="K23" s="121"/>
      <c r="L23" s="121"/>
      <c r="M23" s="121"/>
      <c r="N23" s="121"/>
      <c r="O23" s="121"/>
      <c r="P23" s="251"/>
      <c r="Q23" s="44"/>
      <c r="R23" s="243"/>
    </row>
    <row r="24" spans="1:18" ht="24" customHeight="1" x14ac:dyDescent="0.2">
      <c r="A24" s="133"/>
      <c r="B24" s="42"/>
      <c r="C24" s="42"/>
      <c r="D24" s="42"/>
      <c r="E24" s="42"/>
      <c r="F24" s="42"/>
      <c r="G24" s="24">
        <f ca="1">Database!$F$48</f>
        <v>0</v>
      </c>
      <c r="H24" s="122"/>
      <c r="I24" s="122"/>
      <c r="J24" s="122"/>
      <c r="K24" s="122"/>
      <c r="L24" s="122"/>
      <c r="M24" s="122"/>
      <c r="N24" s="122"/>
      <c r="O24" s="122"/>
      <c r="P24" s="254"/>
      <c r="Q24" s="44"/>
      <c r="R24" s="244" t="str">
        <f ca="1">IF(INDEX(Database!H:H,MATCH(10,Database!A:A))="N",HLOOKUP(Language!$C$3,Language!$E$1:$Z518,37,FALSE),"")</f>
        <v/>
      </c>
    </row>
    <row r="25" spans="1:18" ht="26.25" customHeight="1" thickBot="1" x14ac:dyDescent="0.25">
      <c r="A25" s="134"/>
      <c r="B25" s="45"/>
      <c r="C25" s="45"/>
      <c r="D25" s="45"/>
      <c r="E25" s="45"/>
      <c r="F25" s="45"/>
      <c r="G25" s="135"/>
      <c r="H25" s="135"/>
      <c r="I25" s="135"/>
      <c r="J25" s="135"/>
      <c r="K25" s="135"/>
      <c r="L25" s="135"/>
      <c r="M25" s="135"/>
      <c r="N25" s="135"/>
      <c r="O25" s="135"/>
      <c r="P25" s="135"/>
      <c r="Q25" s="46"/>
      <c r="R25" s="243"/>
    </row>
    <row r="26" spans="1:18" x14ac:dyDescent="0.2">
      <c r="R26" s="243"/>
    </row>
    <row r="27" spans="1:18" x14ac:dyDescent="0.2">
      <c r="R27" s="243"/>
    </row>
    <row r="28" spans="1:18" x14ac:dyDescent="0.2">
      <c r="R28" s="243"/>
    </row>
    <row r="29" spans="1:18" x14ac:dyDescent="0.2">
      <c r="R29" s="243"/>
    </row>
    <row r="30" spans="1:18" x14ac:dyDescent="0.2">
      <c r="R30" s="243"/>
    </row>
    <row r="31" spans="1:18" x14ac:dyDescent="0.2">
      <c r="R31" s="243"/>
    </row>
    <row r="32" spans="1:18" x14ac:dyDescent="0.2">
      <c r="R32" s="243"/>
    </row>
    <row r="33" spans="18:18" x14ac:dyDescent="0.2">
      <c r="R33" s="243"/>
    </row>
    <row r="34" spans="18:18" x14ac:dyDescent="0.2">
      <c r="R34" s="243"/>
    </row>
  </sheetData>
  <sheetProtection algorithmName="SHA-512" hashValue="QBC82Ec81Pu/0ux3x8FGF3FbAcUsi+JxhcwKWQQVBD4KhELHWqVdYwZpJwLcxTD7LK9xkWfa38621ZDjUu/YAg==" saltValue="Vfn5UyufQB5mWdPkf6v16Q==" spinCount="100000" sheet="1" objects="1" scenarios="1"/>
  <phoneticPr fontId="19" type="noConversion"/>
  <pageMargins left="0.7" right="0.7" top="0.75" bottom="0.75" header="0.3" footer="0.3"/>
  <pageSetup paperSize="9"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8194" r:id="rId4" name="List Box 2">
              <controlPr defaultSize="0" autoLine="0" autoPict="0">
                <anchor moveWithCells="1">
                  <from>
                    <xdr:col>0</xdr:col>
                    <xdr:colOff>0</xdr:colOff>
                    <xdr:row>5</xdr:row>
                    <xdr:rowOff>0</xdr:rowOff>
                  </from>
                  <to>
                    <xdr:col>6</xdr:col>
                    <xdr:colOff>0</xdr:colOff>
                    <xdr:row>6</xdr:row>
                    <xdr:rowOff>0</xdr:rowOff>
                  </to>
                </anchor>
              </controlPr>
            </control>
          </mc:Choice>
        </mc:AlternateContent>
        <mc:AlternateContent xmlns:mc="http://schemas.openxmlformats.org/markup-compatibility/2006">
          <mc:Choice Requires="x14">
            <control shapeId="8197" r:id="rId5" name="List Box 5">
              <controlPr defaultSize="0" autoLine="0" autoPict="0">
                <anchor moveWithCells="1">
                  <from>
                    <xdr:col>0</xdr:col>
                    <xdr:colOff>0</xdr:colOff>
                    <xdr:row>7</xdr:row>
                    <xdr:rowOff>0</xdr:rowOff>
                  </from>
                  <to>
                    <xdr:col>6</xdr:col>
                    <xdr:colOff>0</xdr:colOff>
                    <xdr:row>8</xdr:row>
                    <xdr:rowOff>0</xdr:rowOff>
                  </to>
                </anchor>
              </controlPr>
            </control>
          </mc:Choice>
        </mc:AlternateContent>
        <mc:AlternateContent xmlns:mc="http://schemas.openxmlformats.org/markup-compatibility/2006">
          <mc:Choice Requires="x14">
            <control shapeId="8199" r:id="rId6" name="List Box 7">
              <controlPr defaultSize="0" autoLine="0" autoPict="0">
                <anchor moveWithCells="1">
                  <from>
                    <xdr:col>0</xdr:col>
                    <xdr:colOff>0</xdr:colOff>
                    <xdr:row>9</xdr:row>
                    <xdr:rowOff>0</xdr:rowOff>
                  </from>
                  <to>
                    <xdr:col>6</xdr:col>
                    <xdr:colOff>0</xdr:colOff>
                    <xdr:row>10</xdr:row>
                    <xdr:rowOff>0</xdr:rowOff>
                  </to>
                </anchor>
              </controlPr>
            </control>
          </mc:Choice>
        </mc:AlternateContent>
        <mc:AlternateContent xmlns:mc="http://schemas.openxmlformats.org/markup-compatibility/2006">
          <mc:Choice Requires="x14">
            <control shapeId="8205" r:id="rId7" name="List Box 13">
              <controlPr defaultSize="0" autoLine="0" autoPict="0">
                <anchor moveWithCells="1">
                  <from>
                    <xdr:col>0</xdr:col>
                    <xdr:colOff>0</xdr:colOff>
                    <xdr:row>11</xdr:row>
                    <xdr:rowOff>0</xdr:rowOff>
                  </from>
                  <to>
                    <xdr:col>5</xdr:col>
                    <xdr:colOff>647700</xdr:colOff>
                    <xdr:row>12</xdr:row>
                    <xdr:rowOff>0</xdr:rowOff>
                  </to>
                </anchor>
              </controlPr>
            </control>
          </mc:Choice>
        </mc:AlternateContent>
        <mc:AlternateContent xmlns:mc="http://schemas.openxmlformats.org/markup-compatibility/2006">
          <mc:Choice Requires="x14">
            <control shapeId="8207" r:id="rId8" name="List Box 15">
              <controlPr defaultSize="0" autoLine="0" autoPict="0">
                <anchor moveWithCells="1">
                  <from>
                    <xdr:col>0</xdr:col>
                    <xdr:colOff>0</xdr:colOff>
                    <xdr:row>13</xdr:row>
                    <xdr:rowOff>0</xdr:rowOff>
                  </from>
                  <to>
                    <xdr:col>6</xdr:col>
                    <xdr:colOff>0</xdr:colOff>
                    <xdr:row>14</xdr:row>
                    <xdr:rowOff>0</xdr:rowOff>
                  </to>
                </anchor>
              </controlPr>
            </control>
          </mc:Choice>
        </mc:AlternateContent>
        <mc:AlternateContent xmlns:mc="http://schemas.openxmlformats.org/markup-compatibility/2006">
          <mc:Choice Requires="x14">
            <control shapeId="8234" r:id="rId9" name="List Box 42">
              <controlPr defaultSize="0" autoLine="0" autoPict="0">
                <anchor moveWithCells="1">
                  <from>
                    <xdr:col>0</xdr:col>
                    <xdr:colOff>0</xdr:colOff>
                    <xdr:row>17</xdr:row>
                    <xdr:rowOff>0</xdr:rowOff>
                  </from>
                  <to>
                    <xdr:col>6</xdr:col>
                    <xdr:colOff>0</xdr:colOff>
                    <xdr:row>18</xdr:row>
                    <xdr:rowOff>0</xdr:rowOff>
                  </to>
                </anchor>
              </controlPr>
            </control>
          </mc:Choice>
        </mc:AlternateContent>
        <mc:AlternateContent xmlns:mc="http://schemas.openxmlformats.org/markup-compatibility/2006">
          <mc:Choice Requires="x14">
            <control shapeId="8235" r:id="rId10" name="List Box 43">
              <controlPr defaultSize="0" autoLine="0" autoPict="0">
                <anchor moveWithCells="1">
                  <from>
                    <xdr:col>0</xdr:col>
                    <xdr:colOff>0</xdr:colOff>
                    <xdr:row>15</xdr:row>
                    <xdr:rowOff>0</xdr:rowOff>
                  </from>
                  <to>
                    <xdr:col>6</xdr:col>
                    <xdr:colOff>0</xdr:colOff>
                    <xdr:row>16</xdr:row>
                    <xdr:rowOff>0</xdr:rowOff>
                  </to>
                </anchor>
              </controlPr>
            </control>
          </mc:Choice>
        </mc:AlternateContent>
        <mc:AlternateContent xmlns:mc="http://schemas.openxmlformats.org/markup-compatibility/2006">
          <mc:Choice Requires="x14">
            <control shapeId="8237" r:id="rId11" name="List Box 45">
              <controlPr defaultSize="0" autoLine="0" autoPict="0">
                <anchor moveWithCells="1">
                  <from>
                    <xdr:col>0</xdr:col>
                    <xdr:colOff>0</xdr:colOff>
                    <xdr:row>19</xdr:row>
                    <xdr:rowOff>0</xdr:rowOff>
                  </from>
                  <to>
                    <xdr:col>6</xdr:col>
                    <xdr:colOff>0</xdr:colOff>
                    <xdr:row>20</xdr:row>
                    <xdr:rowOff>0</xdr:rowOff>
                  </to>
                </anchor>
              </controlPr>
            </control>
          </mc:Choice>
        </mc:AlternateContent>
        <mc:AlternateContent xmlns:mc="http://schemas.openxmlformats.org/markup-compatibility/2006">
          <mc:Choice Requires="x14">
            <control shapeId="8239" r:id="rId12" name="List Box 47">
              <controlPr defaultSize="0" autoLine="0" autoPict="0">
                <anchor moveWithCells="1">
                  <from>
                    <xdr:col>0</xdr:col>
                    <xdr:colOff>0</xdr:colOff>
                    <xdr:row>21</xdr:row>
                    <xdr:rowOff>0</xdr:rowOff>
                  </from>
                  <to>
                    <xdr:col>6</xdr:col>
                    <xdr:colOff>0</xdr:colOff>
                    <xdr:row>22</xdr:row>
                    <xdr:rowOff>9525</xdr:rowOff>
                  </to>
                </anchor>
              </controlPr>
            </control>
          </mc:Choice>
        </mc:AlternateContent>
        <mc:AlternateContent xmlns:mc="http://schemas.openxmlformats.org/markup-compatibility/2006">
          <mc:Choice Requires="x14">
            <control shapeId="8241" r:id="rId13" name="List Box 49">
              <controlPr defaultSize="0" autoLine="0" autoPict="0">
                <anchor moveWithCells="1">
                  <from>
                    <xdr:col>0</xdr:col>
                    <xdr:colOff>0</xdr:colOff>
                    <xdr:row>23</xdr:row>
                    <xdr:rowOff>0</xdr:rowOff>
                  </from>
                  <to>
                    <xdr:col>6</xdr:col>
                    <xdr:colOff>0</xdr:colOff>
                    <xdr:row>24</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sheetPr>
  <dimension ref="A1:K37"/>
  <sheetViews>
    <sheetView showGridLines="0" showRowColHeaders="0" tabSelected="1" workbookViewId="0">
      <pane ySplit="2" topLeftCell="A3" activePane="bottomLeft" state="frozen"/>
      <selection pane="bottomLeft" activeCell="H35" sqref="H35"/>
    </sheetView>
  </sheetViews>
  <sheetFormatPr defaultRowHeight="14.25" x14ac:dyDescent="0.2"/>
  <cols>
    <col min="1" max="2" width="8.5703125" style="169" customWidth="1"/>
    <col min="3" max="3" width="48.7109375" style="169" customWidth="1"/>
    <col min="4" max="4" width="24.7109375" style="169" customWidth="1"/>
    <col min="5" max="5" width="9.140625" style="169"/>
    <col min="6" max="9" width="9.140625" style="168"/>
    <col min="10" max="10" width="27.42578125" style="168" customWidth="1"/>
    <col min="11" max="11" width="9.140625" style="168"/>
    <col min="12" max="16384" width="9.140625" style="169"/>
  </cols>
  <sheetData>
    <row r="1" spans="1:5" ht="20.25" x14ac:dyDescent="0.3">
      <c r="A1" s="277" t="str">
        <f>HLOOKUP(Language!$C$3,Language!$E$1:$Z567,76,FALSE)</f>
        <v>THIS CORTEC FILE HAS BEEN REPLACED BY THE RT434 GNSS CORTEC FILE</v>
      </c>
    </row>
    <row r="2" spans="1:5" ht="15.75" x14ac:dyDescent="0.25">
      <c r="A2" s="164" t="str">
        <f ca="1">Database!$E$4</f>
        <v>RT43431PNC08A220</v>
      </c>
      <c r="B2" s="165"/>
      <c r="C2" s="191"/>
      <c r="D2" s="166"/>
      <c r="E2" s="167"/>
    </row>
    <row r="3" spans="1:5" ht="15" x14ac:dyDescent="0.25">
      <c r="A3" s="241" t="str">
        <f ca="1">Database!$E$2</f>
        <v>RT434 GPS Precision-Time Clock</v>
      </c>
      <c r="B3" s="171"/>
      <c r="C3" s="168"/>
      <c r="D3" s="172"/>
      <c r="E3" s="168"/>
    </row>
    <row r="4" spans="1:5" ht="15" x14ac:dyDescent="0.25">
      <c r="A4" s="170" t="str">
        <f ca="1">Database!$B$5</f>
        <v>Power Supply 1</v>
      </c>
      <c r="B4" s="171"/>
      <c r="C4" s="168"/>
      <c r="D4" s="172"/>
      <c r="E4" s="168"/>
    </row>
    <row r="5" spans="1:5" x14ac:dyDescent="0.2">
      <c r="A5" s="173" t="str">
        <f ca="1">Database!$E$5</f>
        <v>100-250 Vdc / 110-240 Vac</v>
      </c>
      <c r="B5" s="174"/>
      <c r="C5" s="168"/>
      <c r="D5" s="172"/>
      <c r="E5" s="168"/>
    </row>
    <row r="6" spans="1:5" ht="15" x14ac:dyDescent="0.25">
      <c r="A6" s="170" t="str">
        <f ca="1">Database!$B$9</f>
        <v>Power Supply 2</v>
      </c>
      <c r="B6" s="171"/>
      <c r="C6" s="168"/>
      <c r="D6" s="172"/>
      <c r="E6" s="168"/>
    </row>
    <row r="7" spans="1:5" x14ac:dyDescent="0.2">
      <c r="A7" s="175" t="str">
        <f ca="1">Database!$E$9</f>
        <v>24-48 Vdc</v>
      </c>
      <c r="B7" s="176"/>
      <c r="C7" s="168"/>
      <c r="D7" s="172"/>
      <c r="E7" s="168"/>
    </row>
    <row r="8" spans="1:5" ht="15" x14ac:dyDescent="0.25">
      <c r="A8" s="177" t="str">
        <f ca="1">Database!$B$14</f>
        <v>Ethernet Interface 1 and 2</v>
      </c>
      <c r="B8" s="178"/>
      <c r="C8" s="168"/>
      <c r="D8" s="172"/>
      <c r="E8" s="168"/>
    </row>
    <row r="9" spans="1:5" x14ac:dyDescent="0.2">
      <c r="A9" s="175" t="str">
        <f ca="1">Database!E14</f>
        <v>RJ45 copper 100BASE-TX for PTP (IEEE 1588) server, NTP server and configuration</v>
      </c>
      <c r="B9" s="176"/>
      <c r="C9" s="168"/>
      <c r="D9" s="172"/>
      <c r="E9" s="168"/>
    </row>
    <row r="10" spans="1:5" ht="15" x14ac:dyDescent="0.25">
      <c r="A10" s="177" t="str">
        <f ca="1">Database!$B$19</f>
        <v>Ethernet Interface 3 and 4</v>
      </c>
      <c r="B10" s="178"/>
      <c r="C10" s="168"/>
      <c r="D10" s="172"/>
      <c r="E10" s="168"/>
    </row>
    <row r="11" spans="1:5" x14ac:dyDescent="0.2">
      <c r="A11" s="173" t="str">
        <f ca="1">Database!E19</f>
        <v>RJ45 copper 100BASE-TX for NTP server and configuration</v>
      </c>
      <c r="B11" s="174"/>
      <c r="C11" s="168"/>
      <c r="D11" s="172"/>
      <c r="E11" s="168"/>
    </row>
    <row r="12" spans="1:5" ht="15" x14ac:dyDescent="0.25">
      <c r="A12" s="177" t="str">
        <f ca="1">Database!$B$24</f>
        <v>Customization / Regionalisation</v>
      </c>
      <c r="B12" s="178"/>
      <c r="C12" s="168"/>
      <c r="D12" s="172"/>
      <c r="E12" s="168"/>
    </row>
    <row r="13" spans="1:5" x14ac:dyDescent="0.2">
      <c r="A13" s="175" t="str">
        <f ca="1">Database!$E$24</f>
        <v>GE branding</v>
      </c>
      <c r="B13" s="176"/>
      <c r="C13" s="168"/>
      <c r="D13" s="172"/>
      <c r="E13" s="168"/>
    </row>
    <row r="14" spans="1:5" ht="15" x14ac:dyDescent="0.25">
      <c r="A14" s="170" t="str">
        <f ca="1">Database!$B$28</f>
        <v>Firmware Version</v>
      </c>
      <c r="B14" s="171"/>
      <c r="C14" s="168"/>
      <c r="D14" s="172"/>
      <c r="E14" s="168"/>
    </row>
    <row r="15" spans="1:5" x14ac:dyDescent="0.2">
      <c r="A15" s="175" t="str">
        <f ca="1">Database!$F$28</f>
        <v>08</v>
      </c>
      <c r="B15" s="176"/>
      <c r="C15" s="168"/>
      <c r="D15" s="172"/>
      <c r="E15" s="168"/>
    </row>
    <row r="16" spans="1:5" ht="15" x14ac:dyDescent="0.25">
      <c r="A16" s="178" t="str">
        <f ca="1">Database!B33</f>
        <v>Hardware Design Suffix</v>
      </c>
      <c r="B16" s="178"/>
      <c r="C16" s="168"/>
      <c r="D16" s="172"/>
      <c r="E16" s="168"/>
    </row>
    <row r="17" spans="1:10" x14ac:dyDescent="0.2">
      <c r="A17" s="176" t="str">
        <f ca="1">Database!$E$34</f>
        <v>Initial version</v>
      </c>
      <c r="B17" s="176"/>
      <c r="C17" s="168"/>
      <c r="D17" s="172"/>
      <c r="E17" s="168"/>
    </row>
    <row r="18" spans="1:10" ht="15" x14ac:dyDescent="0.25">
      <c r="A18" s="178" t="str">
        <f ca="1">Database!B36</f>
        <v>GPS Antenna</v>
      </c>
      <c r="B18" s="178"/>
      <c r="C18" s="168"/>
      <c r="D18" s="172"/>
      <c r="E18" s="168"/>
    </row>
    <row r="19" spans="1:10" x14ac:dyDescent="0.2">
      <c r="A19" s="176" t="str">
        <f ca="1">Database!E36</f>
        <v>3.3V TNC Female active GNSS antenna</v>
      </c>
      <c r="B19" s="176"/>
      <c r="C19" s="168"/>
      <c r="D19" s="172"/>
      <c r="E19" s="168"/>
    </row>
    <row r="20" spans="1:10" ht="15" x14ac:dyDescent="0.25">
      <c r="A20" s="178" t="str">
        <f ca="1">Database!B40</f>
        <v>Antenna Cable</v>
      </c>
      <c r="B20" s="178"/>
      <c r="C20" s="168"/>
      <c r="D20" s="172"/>
      <c r="E20" s="168"/>
    </row>
    <row r="21" spans="1:10" x14ac:dyDescent="0.2">
      <c r="A21" s="176" t="str">
        <f ca="1">Database!E40</f>
        <v>25 m (82 ft) TNC Male to BNC Male (Attennuation &lt; 0.5 dB/m @ 1500 MHZ)</v>
      </c>
      <c r="B21" s="176"/>
      <c r="C21" s="168"/>
      <c r="D21" s="172"/>
      <c r="E21" s="168"/>
    </row>
    <row r="22" spans="1:10" ht="15" x14ac:dyDescent="0.25">
      <c r="A22" s="178" t="str">
        <f ca="1">Database!B48</f>
        <v>Surge Arrester</v>
      </c>
      <c r="B22" s="178"/>
      <c r="C22" s="168"/>
      <c r="D22" s="172"/>
      <c r="E22" s="168"/>
    </row>
    <row r="23" spans="1:10" x14ac:dyDescent="0.2">
      <c r="A23" s="176" t="str">
        <f ca="1">Database!E48</f>
        <v>Without surge arrester</v>
      </c>
      <c r="B23" s="176"/>
      <c r="C23" s="168"/>
      <c r="D23" s="172"/>
      <c r="E23" s="168"/>
    </row>
    <row r="24" spans="1:10" ht="15" thickBot="1" x14ac:dyDescent="0.25">
      <c r="A24" s="176"/>
      <c r="B24" s="176"/>
      <c r="C24" s="168"/>
      <c r="D24" s="172"/>
      <c r="E24" s="168"/>
    </row>
    <row r="25" spans="1:10" x14ac:dyDescent="0.2">
      <c r="A25" s="179"/>
      <c r="B25" s="179"/>
      <c r="C25" s="179"/>
      <c r="D25" s="180"/>
      <c r="E25" s="168"/>
    </row>
    <row r="26" spans="1:10" x14ac:dyDescent="0.2">
      <c r="A26" s="181" t="str">
        <f>HLOOKUP(Language!$C$3,Language!$E$1:$Z567,38,FALSE)</f>
        <v>Issue:</v>
      </c>
      <c r="B26" s="182"/>
      <c r="C26" s="182"/>
      <c r="D26" s="183"/>
      <c r="E26" s="168"/>
    </row>
    <row r="27" spans="1:10" x14ac:dyDescent="0.2">
      <c r="A27" s="184"/>
      <c r="B27" s="192" t="s">
        <v>0</v>
      </c>
      <c r="C27" s="193" t="str">
        <f>HLOOKUP(Language!$C$3,Language!$E$1:$Z567,39,FALSE)</f>
        <v>Original Created</v>
      </c>
      <c r="D27" s="194">
        <v>41709</v>
      </c>
      <c r="E27" s="187"/>
      <c r="F27" s="187"/>
      <c r="H27" s="187"/>
      <c r="I27" s="187"/>
      <c r="J27" s="188"/>
    </row>
    <row r="28" spans="1:10" x14ac:dyDescent="0.2">
      <c r="A28" s="168"/>
      <c r="B28" s="185" t="s">
        <v>1</v>
      </c>
      <c r="C28" s="186" t="str">
        <f>HLOOKUP(Language!$C$3,Language!$E$1:$Z568,49,FALSE)</f>
        <v>Changed antenna cable length for option 3</v>
      </c>
      <c r="D28" s="194">
        <f>'Date Drivers'!C2</f>
        <v>41852</v>
      </c>
      <c r="E28" s="168"/>
    </row>
    <row r="29" spans="1:10" ht="25.5" x14ac:dyDescent="0.2">
      <c r="A29" s="168"/>
      <c r="B29" s="195" t="s">
        <v>2</v>
      </c>
      <c r="C29" s="196" t="str">
        <f>HLOOKUP(Language!$C$3,Language!$E$1:$Z569,50,FALSE)</f>
        <v>Changed firmware to version 06, enabled the PRP+PTP option, added 24-48 Vdc power supply option</v>
      </c>
      <c r="D29" s="197">
        <f>'Date Drivers'!G2</f>
        <v>41985</v>
      </c>
      <c r="E29" s="168"/>
    </row>
    <row r="30" spans="1:10" x14ac:dyDescent="0.2">
      <c r="A30" s="168"/>
      <c r="B30" s="195" t="s">
        <v>155</v>
      </c>
      <c r="C30" s="196" t="str">
        <f>HLOOKUP(Language!$C$3,Language!$E$1:$Z569,59,FALSE)</f>
        <v>Changed antenna and antenna cable description</v>
      </c>
      <c r="D30" s="197">
        <f>'Date Drivers'!K2</f>
        <v>42130</v>
      </c>
      <c r="E30" s="168"/>
    </row>
    <row r="31" spans="1:10" x14ac:dyDescent="0.2">
      <c r="A31" s="168"/>
      <c r="B31" s="195" t="s">
        <v>186</v>
      </c>
      <c r="C31" s="196" t="str">
        <f>HLOOKUP(Language!$C$3,Language!$E$1:$Z570,60,FALSE)</f>
        <v>New firmware release</v>
      </c>
      <c r="D31" s="197">
        <f>'Date Drivers'!O2</f>
        <v>42443</v>
      </c>
      <c r="E31" s="168"/>
    </row>
    <row r="32" spans="1:10" x14ac:dyDescent="0.2">
      <c r="A32" s="168"/>
      <c r="B32" s="195" t="s">
        <v>204</v>
      </c>
      <c r="C32" s="196" t="str">
        <f>HLOOKUP(Language!$C$3,Language!$E$1:$Z571,62,FALSE)</f>
        <v>Changed branding to GE</v>
      </c>
      <c r="D32" s="197">
        <f>'Date Drivers'!S2</f>
        <v>42494</v>
      </c>
      <c r="E32" s="168"/>
    </row>
    <row r="33" spans="1:5" x14ac:dyDescent="0.2">
      <c r="A33" s="168"/>
      <c r="B33" s="195" t="s">
        <v>223</v>
      </c>
      <c r="C33" s="196" t="str">
        <f>HLOOKUP(Language!$C$3,Language!$E$1:$Z572,68,FALSE)</f>
        <v>Cables attenuation fixed</v>
      </c>
      <c r="D33" s="197">
        <f>'Date Drivers'!W2</f>
        <v>42555</v>
      </c>
      <c r="E33" s="168"/>
    </row>
    <row r="34" spans="1:5" x14ac:dyDescent="0.2">
      <c r="A34" s="168"/>
      <c r="B34" s="195" t="s">
        <v>225</v>
      </c>
      <c r="C34" s="196" t="str">
        <f>HLOOKUP(Language!$C$3,Language!$E$1:$Z573,69,FALSE)</f>
        <v>Added firmware version 08</v>
      </c>
      <c r="D34" s="197">
        <f>'Date Drivers'!AA2</f>
        <v>42650</v>
      </c>
      <c r="E34" s="168"/>
    </row>
    <row r="35" spans="1:5" ht="38.25" x14ac:dyDescent="0.2">
      <c r="A35" s="168"/>
      <c r="B35" s="195" t="s">
        <v>246</v>
      </c>
      <c r="C35" s="196" t="str">
        <f>HLOOKUP(Language!$C$3,Language!$E$1:$Z574,75,FALSE)</f>
        <v>Name updated to "GPS Precision-Time Clock" 
Added 150 m cable option
Eth3 and 4 options depending on Eth1 and 2 selection</v>
      </c>
      <c r="D35" s="197">
        <f>'Date Drivers'!AE2</f>
        <v>42800</v>
      </c>
      <c r="E35" s="168"/>
    </row>
    <row r="36" spans="1:5" ht="38.25" x14ac:dyDescent="0.2">
      <c r="A36" s="168"/>
      <c r="B36" s="195" t="s">
        <v>253</v>
      </c>
      <c r="C36" s="196" t="str">
        <f>HLOOKUP(Language!$C$3,Language!$E$1:$Z575,77,FALSE)</f>
        <v>This Cortec file has be superseded by the RT434 GNSS Cortec File; please reference the RT434 GNSS Cortec file for your current ordering needs.</v>
      </c>
      <c r="D36" s="197">
        <v>43831</v>
      </c>
      <c r="E36" s="168"/>
    </row>
    <row r="37" spans="1:5" ht="15" thickBot="1" x14ac:dyDescent="0.25">
      <c r="A37" s="189"/>
      <c r="B37" s="189"/>
      <c r="C37" s="189"/>
      <c r="D37" s="190"/>
      <c r="E37" s="168"/>
    </row>
  </sheetData>
  <sheetProtection algorithmName="SHA-512" hashValue="7CO9baAryph/o14/Mg5fhE++oxzeHJBhOzhJajapJk/MzDlNbuqZD1iuu4XOg9Tu2zhVlLh2pP2YmsBJvYpcDg==" saltValue="yMzsV+ILzhlaBa5jqkSymg==" spinCount="100000" sheet="1" objects="1" scenarios="1"/>
  <phoneticPr fontId="19"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55"/>
  <sheetViews>
    <sheetView topLeftCell="A7" workbookViewId="0">
      <selection activeCell="J23" sqref="J23"/>
    </sheetView>
  </sheetViews>
  <sheetFormatPr defaultRowHeight="12" x14ac:dyDescent="0.2"/>
  <cols>
    <col min="1" max="1" width="2.7109375" style="9" customWidth="1"/>
    <col min="2" max="2" width="26.85546875" style="3" bestFit="1" customWidth="1"/>
    <col min="3" max="4" width="3.28515625" style="233" customWidth="1"/>
    <col min="5" max="5" width="68.28515625" style="3" bestFit="1" customWidth="1"/>
    <col min="6" max="6" width="3.28515625" style="9" customWidth="1"/>
    <col min="7" max="8" width="9.140625" style="15"/>
    <col min="9" max="9" width="9.140625" style="3"/>
    <col min="10" max="10" width="23.7109375" style="3" bestFit="1" customWidth="1"/>
    <col min="11" max="11" width="16.140625" style="3" bestFit="1" customWidth="1"/>
    <col min="12" max="16384" width="9.140625" style="3"/>
  </cols>
  <sheetData>
    <row r="1" spans="1:11" x14ac:dyDescent="0.2">
      <c r="B1" s="227" t="s">
        <v>168</v>
      </c>
      <c r="E1" s="22">
        <v>42800</v>
      </c>
      <c r="F1" s="22"/>
      <c r="G1" s="15" t="s">
        <v>174</v>
      </c>
      <c r="H1" s="15" t="s">
        <v>175</v>
      </c>
      <c r="J1" s="228" t="s">
        <v>179</v>
      </c>
      <c r="K1" s="229" t="str">
        <f>ADDRESS(1,MATCH(E1,'Date Drivers'!2:2,0),1,1,"Date Drivers")</f>
        <v>'Date Drivers'!$AE$1</v>
      </c>
    </row>
    <row r="2" spans="1:11" x14ac:dyDescent="0.2">
      <c r="B2" s="227" t="s">
        <v>180</v>
      </c>
      <c r="E2" s="230" t="str">
        <f ca="1">INDEX(INDIRECT($K$1&amp;":"&amp;$K$2),4,1)</f>
        <v>RT434 GPS Precision-Time Clock</v>
      </c>
      <c r="F2" s="230"/>
      <c r="G2" s="15">
        <f ca="1">INDEX(INDIRECT($K$1&amp;":"&amp;$K$2),5,3)</f>
        <v>0</v>
      </c>
      <c r="H2" s="15" t="str">
        <f ca="1">INDEX(INDIRECT($K$1&amp;":"&amp;$K$2),5,4)</f>
        <v>Y</v>
      </c>
      <c r="J2" s="228" t="s">
        <v>181</v>
      </c>
      <c r="K2" s="229" t="str">
        <f>ADDRESS(500,MATCH(E1,'Date Drivers'!2:2,0)+4,1,1)</f>
        <v>$AI$500</v>
      </c>
    </row>
    <row r="3" spans="1:11" x14ac:dyDescent="0.2">
      <c r="B3" s="227" t="s">
        <v>176</v>
      </c>
      <c r="C3" s="234"/>
      <c r="D3" s="234"/>
      <c r="E3" s="230" t="str">
        <f ca="1">INDEX(INDIRECT($K$1&amp;":"&amp;$K$2),5,1)</f>
        <v>RT434</v>
      </c>
      <c r="F3" s="230"/>
    </row>
    <row r="4" spans="1:11" x14ac:dyDescent="0.2">
      <c r="B4" s="231" t="s">
        <v>182</v>
      </c>
      <c r="C4" s="235"/>
      <c r="D4" s="235"/>
      <c r="E4" s="238" t="str">
        <f ca="1">E3&amp;F5&amp;F9&amp;F14&amp;F19&amp;F24&amp;F28&amp;F33&amp;F36&amp;F40&amp;F48</f>
        <v>RT43431PNC08A220</v>
      </c>
      <c r="F4" s="21"/>
    </row>
    <row r="5" spans="1:11" x14ac:dyDescent="0.2">
      <c r="A5" s="208">
        <v>1</v>
      </c>
      <c r="B5" s="16" t="str">
        <f ca="1">INDIRECT("'Date Drivers'!B"&amp;C6)</f>
        <v>Power Supply 1</v>
      </c>
      <c r="C5" s="236" t="s">
        <v>14</v>
      </c>
      <c r="D5" s="236">
        <v>2</v>
      </c>
      <c r="E5" s="19" t="str">
        <f ca="1">VLOOKUP($D5,$D6:$H7,2)</f>
        <v>100-250 Vdc / 110-240 Vac</v>
      </c>
      <c r="F5" s="19">
        <f ca="1">VLOOKUP($D5,$D6:$H7,3)</f>
        <v>3</v>
      </c>
      <c r="G5" s="232">
        <f ca="1">VLOOKUP($D5,$D6:$H7,4)</f>
        <v>0</v>
      </c>
      <c r="H5" s="232" t="str">
        <f ca="1">VLOOKUP($D5,$D6:$H7,5)</f>
        <v>Y</v>
      </c>
    </row>
    <row r="6" spans="1:11" x14ac:dyDescent="0.2">
      <c r="C6" s="218">
        <f>MATCH(A5,'Date Drivers'!A:A,0)</f>
        <v>6</v>
      </c>
      <c r="D6" s="218">
        <v>1</v>
      </c>
      <c r="E6" s="102" t="str">
        <f ca="1">IF(INDEX(INDIRECT($K$1&amp;":"&amp;$K$2),$C6,1)=0,"",INDEX(INDIRECT($K$1&amp;":"&amp;$K$2),$C6,1))</f>
        <v>24-48 Vdc</v>
      </c>
      <c r="F6" s="218">
        <f ca="1">IF(INDEX(INDIRECT($K$1&amp;":"&amp;$K$2),$C6,1)=0,"",INDEX(INDIRECT($K$1&amp;":"&amp;$K$2),$C6,2))</f>
        <v>1</v>
      </c>
      <c r="G6" s="216">
        <f ca="1">IF(INDEX(INDIRECT($K$1&amp;":"&amp;$K$2),$C6,1)=0,"",INDEX(INDIRECT($K$1&amp;":"&amp;$K$2),$C6,3))</f>
        <v>0</v>
      </c>
      <c r="H6" s="216" t="str">
        <f ca="1">IF(INDEX(INDIRECT($K$1&amp;":"&amp;$K$2),$C6,1)=0,"",INDEX(INDIRECT($K$1&amp;":"&amp;$K$2),$C6,4))</f>
        <v>Y</v>
      </c>
    </row>
    <row r="7" spans="1:11" x14ac:dyDescent="0.2">
      <c r="C7" s="237">
        <f>C6+1</f>
        <v>7</v>
      </c>
      <c r="D7" s="218">
        <f>D6+1</f>
        <v>2</v>
      </c>
      <c r="E7" s="102" t="str">
        <f ca="1">IF(INDEX(INDIRECT($K$1&amp;":"&amp;$K$2),$C7,1)=0,"",INDEX(INDIRECT($K$1&amp;":"&amp;$K$2),$C7,1))</f>
        <v>100-250 Vdc / 110-240 Vac</v>
      </c>
      <c r="F7" s="218">
        <f ca="1">IF(INDEX(INDIRECT($K$1&amp;":"&amp;$K$2),$C7,1)=0,"",INDEX(INDIRECT($K$1&amp;":"&amp;$K$2),$C7,2))</f>
        <v>3</v>
      </c>
      <c r="G7" s="216">
        <f ca="1">IF(INDEX(INDIRECT($K$1&amp;":"&amp;$K$2),$C7,1)=0,"",INDEX(INDIRECT($K$1&amp;":"&amp;$K$2),$C7,3))</f>
        <v>0</v>
      </c>
      <c r="H7" s="216" t="str">
        <f ca="1">IF(INDEX(INDIRECT($K$1&amp;":"&amp;$K$2),$C7,1)=0,"",INDEX(INDIRECT($K$1&amp;":"&amp;$K$2),$C7,4))</f>
        <v>Y</v>
      </c>
    </row>
    <row r="9" spans="1:11" x14ac:dyDescent="0.2">
      <c r="A9" s="208">
        <v>2</v>
      </c>
      <c r="B9" s="16" t="str">
        <f ca="1">INDIRECT("'Date Drivers'!B"&amp;C10)</f>
        <v>Power Supply 2</v>
      </c>
      <c r="C9" s="236" t="s">
        <v>14</v>
      </c>
      <c r="D9" s="236">
        <v>1</v>
      </c>
      <c r="E9" s="19" t="str">
        <f ca="1">VLOOKUP($D9,$D10:$H12,2)</f>
        <v>24-48 Vdc</v>
      </c>
      <c r="F9" s="19">
        <f ca="1">VLOOKUP($D9,$D10:$H12,3)</f>
        <v>1</v>
      </c>
      <c r="G9" s="232">
        <f ca="1">VLOOKUP($D9,$D10:$H12,4)</f>
        <v>0</v>
      </c>
      <c r="H9" s="232" t="str">
        <f ca="1">VLOOKUP($D9,$D10:$H12,5)</f>
        <v>Y</v>
      </c>
    </row>
    <row r="10" spans="1:11" x14ac:dyDescent="0.2">
      <c r="A10" s="218"/>
      <c r="C10" s="218">
        <f>MATCH(A9,'Date Drivers'!A:A,0)</f>
        <v>9</v>
      </c>
      <c r="D10" s="218">
        <v>1</v>
      </c>
      <c r="E10" s="102" t="str">
        <f ca="1">IF(INDEX(INDIRECT($K$1&amp;":"&amp;$K$2),$C10,1)=0,"",INDEX(INDIRECT($K$1&amp;":"&amp;$K$2),$C10,1))</f>
        <v>24-48 Vdc</v>
      </c>
      <c r="F10" s="218">
        <f ca="1">IF(INDEX(INDIRECT($K$1&amp;":"&amp;$K$2),$C10,1)=0,"",INDEX(INDIRECT($K$1&amp;":"&amp;$K$2),$C10,2))</f>
        <v>1</v>
      </c>
      <c r="G10" s="216">
        <f ca="1">IF(INDEX(INDIRECT($K$1&amp;":"&amp;$K$2),$C10,1)=0,"",INDEX(INDIRECT($K$1&amp;":"&amp;$K$2),$C10,3))</f>
        <v>0</v>
      </c>
      <c r="H10" s="216" t="str">
        <f ca="1">IF(INDEX(INDIRECT($K$1&amp;":"&amp;$K$2),$C10,1)=0,"",INDEX(INDIRECT($K$1&amp;":"&amp;$K$2),$C10,4))</f>
        <v>Y</v>
      </c>
    </row>
    <row r="11" spans="1:11" x14ac:dyDescent="0.2">
      <c r="A11" s="218"/>
      <c r="C11" s="237">
        <f>C10+1</f>
        <v>10</v>
      </c>
      <c r="D11" s="218">
        <f t="shared" ref="D11:D12" si="0">D10+1</f>
        <v>2</v>
      </c>
      <c r="E11" s="102" t="str">
        <f ca="1">IF(INDEX(INDIRECT($K$1&amp;":"&amp;$K$2),$C11,1)=0,"",INDEX(INDIRECT($K$1&amp;":"&amp;$K$2),$C11,1))</f>
        <v>100-250 Vdc / 110-240 Vac</v>
      </c>
      <c r="F11" s="218">
        <f ca="1">IF(INDEX(INDIRECT($K$1&amp;":"&amp;$K$2),$C11,1)=0,"",INDEX(INDIRECT($K$1&amp;":"&amp;$K$2),$C11,2))</f>
        <v>3</v>
      </c>
      <c r="G11" s="216">
        <f ca="1">IF(INDEX(INDIRECT($K$1&amp;":"&amp;$K$2),$C11,1)=0,"",INDEX(INDIRECT($K$1&amp;":"&amp;$K$2),$C11,3))</f>
        <v>0</v>
      </c>
      <c r="H11" s="216" t="str">
        <f ca="1">IF(INDEX(INDIRECT($K$1&amp;":"&amp;$K$2),$C11,1)=0,"",INDEX(INDIRECT($K$1&amp;":"&amp;$K$2),$C11,4))</f>
        <v>Y</v>
      </c>
    </row>
    <row r="12" spans="1:11" x14ac:dyDescent="0.2">
      <c r="A12" s="218"/>
      <c r="C12" s="237">
        <f t="shared" ref="C12" si="1">C11+1</f>
        <v>11</v>
      </c>
      <c r="D12" s="218">
        <f t="shared" si="0"/>
        <v>3</v>
      </c>
      <c r="E12" s="102" t="str">
        <f ca="1">IF(INDEX(INDIRECT($K$1&amp;":"&amp;$K$2),$C12,1)=0,"",INDEX(INDIRECT($K$1&amp;":"&amp;$K$2),$C12,1))</f>
        <v>Not installed</v>
      </c>
      <c r="F12" s="218" t="str">
        <f ca="1">IF(INDEX(INDIRECT($K$1&amp;":"&amp;$K$2),$C12,1)=0,"",INDEX(INDIRECT($K$1&amp;":"&amp;$K$2),$C12,2))</f>
        <v>X</v>
      </c>
      <c r="G12" s="216">
        <f ca="1">IF(INDEX(INDIRECT($K$1&amp;":"&amp;$K$2),$C12,1)=0,"",INDEX(INDIRECT($K$1&amp;":"&amp;$K$2),$C12,3))</f>
        <v>0</v>
      </c>
      <c r="H12" s="216" t="str">
        <f ca="1">IF(INDEX(INDIRECT($K$1&amp;":"&amp;$K$2),$C12,1)=0,"",INDEX(INDIRECT($K$1&amp;":"&amp;$K$2),$C12,4))</f>
        <v>Y</v>
      </c>
    </row>
    <row r="14" spans="1:11" x14ac:dyDescent="0.2">
      <c r="A14" s="208">
        <v>3</v>
      </c>
      <c r="B14" s="16" t="str">
        <f ca="1">INDIRECT("'Date Drivers'!B"&amp;C15)</f>
        <v>Ethernet Interface 1 and 2</v>
      </c>
      <c r="C14" s="236" t="s">
        <v>14</v>
      </c>
      <c r="D14" s="236">
        <v>3</v>
      </c>
      <c r="E14" s="19" t="str">
        <f ca="1">VLOOKUP($D14,$D15:$H17,2)</f>
        <v>RJ45 copper 100BASE-TX for PTP (IEEE 1588) server, NTP server and configuration</v>
      </c>
      <c r="F14" s="19" t="str">
        <f ca="1">VLOOKUP($D14,$D15:$H17,3)</f>
        <v>P</v>
      </c>
      <c r="G14" s="232">
        <f ca="1">VLOOKUP($D14,$D15:$H17,4)</f>
        <v>0</v>
      </c>
      <c r="H14" s="232" t="str">
        <f ca="1">VLOOKUP($D14,$D15:$H17,5)</f>
        <v>Y</v>
      </c>
    </row>
    <row r="15" spans="1:11" x14ac:dyDescent="0.2">
      <c r="A15" s="218"/>
      <c r="B15" s="102"/>
      <c r="C15" s="218">
        <f>MATCH(A14,'Date Drivers'!A:A,0)</f>
        <v>13</v>
      </c>
      <c r="D15" s="218">
        <v>1</v>
      </c>
      <c r="E15" s="102" t="str">
        <f ca="1">IF(INDEX(INDIRECT($K$1&amp;":"&amp;$K$2),$C15,1)=0,"",INDEX(INDIRECT($K$1&amp;":"&amp;$K$2),$C15,1))</f>
        <v>RJ45 copper 100BASE-TX for configuration only</v>
      </c>
      <c r="F15" s="218" t="str">
        <f ca="1">IF(INDEX(INDIRECT($K$1&amp;":"&amp;$K$2),$C15,1)=0,"",INDEX(INDIRECT($K$1&amp;":"&amp;$K$2),$C15,2))</f>
        <v>C</v>
      </c>
      <c r="G15" s="216">
        <f ca="1">IF(INDEX(INDIRECT($K$1&amp;":"&amp;$K$2),$C15,1)=0,"",INDEX(INDIRECT($K$1&amp;":"&amp;$K$2),$C15,3))</f>
        <v>0</v>
      </c>
      <c r="H15" s="216" t="str">
        <f ca="1">IF(INDEX(INDIRECT($K$1&amp;":"&amp;$K$2),$C15,1)=0,"",INDEX(INDIRECT($K$1&amp;":"&amp;$K$2),$C15,4))</f>
        <v>Y</v>
      </c>
    </row>
    <row r="16" spans="1:11" x14ac:dyDescent="0.2">
      <c r="A16" s="218"/>
      <c r="B16" s="102"/>
      <c r="C16" s="237">
        <f>C15+1</f>
        <v>14</v>
      </c>
      <c r="D16" s="237">
        <f>D15+1</f>
        <v>2</v>
      </c>
      <c r="E16" s="102" t="str">
        <f ca="1">IF(INDEX(INDIRECT($K$1&amp;":"&amp;$K$2),$C16,1)=0,"",INDEX(INDIRECT($K$1&amp;":"&amp;$K$2),$C16,1))</f>
        <v>RJ45 copper 100BASE-TX for NTP server and configuration</v>
      </c>
      <c r="F16" s="218" t="str">
        <f ca="1">IF(INDEX(INDIRECT($K$1&amp;":"&amp;$K$2),$C16,1)=0,"",INDEX(INDIRECT($K$1&amp;":"&amp;$K$2),$C16,2))</f>
        <v>N</v>
      </c>
      <c r="G16" s="216">
        <f ca="1">IF(INDEX(INDIRECT($K$1&amp;":"&amp;$K$2),$C16,1)=0,"",INDEX(INDIRECT($K$1&amp;":"&amp;$K$2),$C16,3))</f>
        <v>0</v>
      </c>
      <c r="H16" s="216" t="str">
        <f ca="1">IF(INDEX(INDIRECT($K$1&amp;":"&amp;$K$2),$C16,1)=0,"",INDEX(INDIRECT($K$1&amp;":"&amp;$K$2),$C16,4))</f>
        <v>Y</v>
      </c>
    </row>
    <row r="17" spans="1:13" x14ac:dyDescent="0.2">
      <c r="A17" s="218"/>
      <c r="B17" s="102"/>
      <c r="C17" s="237">
        <f t="shared" ref="C17" si="2">C16+1</f>
        <v>15</v>
      </c>
      <c r="D17" s="237">
        <f>D16+1</f>
        <v>3</v>
      </c>
      <c r="E17" s="102" t="str">
        <f ca="1">IF(INDEX(INDIRECT($K$1&amp;":"&amp;$K$2),$C17,1)=0,"",INDEX(INDIRECT($K$1&amp;":"&amp;$K$2),$C17,1))</f>
        <v>RJ45 copper 100BASE-TX for PTP (IEEE 1588) server, NTP server and configuration</v>
      </c>
      <c r="F17" s="218" t="str">
        <f ca="1">IF(INDEX(INDIRECT($K$1&amp;":"&amp;$K$2),$C17,1)=0,"",INDEX(INDIRECT($K$1&amp;":"&amp;$K$2),$C17,2))</f>
        <v>P</v>
      </c>
      <c r="G17" s="216">
        <f ca="1">IF(INDEX(INDIRECT($K$1&amp;":"&amp;$K$2),$C17,1)=0,"",INDEX(INDIRECT($K$1&amp;":"&amp;$K$2),$C17,3))</f>
        <v>0</v>
      </c>
      <c r="H17" s="216" t="str">
        <f ca="1">IF(INDEX(INDIRECT($K$1&amp;":"&amp;$K$2),$C17,1)=0,"",INDEX(INDIRECT($K$1&amp;":"&amp;$K$2),$C17,4))</f>
        <v>Y</v>
      </c>
    </row>
    <row r="19" spans="1:13" x14ac:dyDescent="0.2">
      <c r="A19" s="208">
        <v>4</v>
      </c>
      <c r="B19" s="16" t="str">
        <f ca="1">INDIRECT("'Date Drivers'!B"&amp;C20)</f>
        <v>Ethernet Interface 3 and 4</v>
      </c>
      <c r="C19" s="236" t="s">
        <v>14</v>
      </c>
      <c r="D19" s="236">
        <f>MINA(D14,M19)</f>
        <v>2</v>
      </c>
      <c r="E19" s="19" t="str">
        <f ca="1">VLOOKUP($D19,$D20:$H22,2)</f>
        <v>RJ45 copper 100BASE-TX for NTP server and configuration</v>
      </c>
      <c r="F19" s="19" t="str">
        <f ca="1">VLOOKUP($D19,$D20:$H22,3)</f>
        <v>N</v>
      </c>
      <c r="G19" s="232">
        <f ca="1">VLOOKUP($D19,$D20:$H22,4)</f>
        <v>0</v>
      </c>
      <c r="H19" s="232" t="str">
        <f ca="1">VLOOKUP($D19,$D20:$H22,5)</f>
        <v>Y</v>
      </c>
      <c r="J19" s="272" t="s">
        <v>245</v>
      </c>
      <c r="K19" s="273"/>
      <c r="L19" s="274"/>
      <c r="M19" s="3">
        <v>2</v>
      </c>
    </row>
    <row r="20" spans="1:13" x14ac:dyDescent="0.2">
      <c r="A20" s="218"/>
      <c r="B20" s="102"/>
      <c r="C20" s="218">
        <f>MATCH(A19,'Date Drivers'!A:A,0)</f>
        <v>17</v>
      </c>
      <c r="D20" s="218">
        <v>1</v>
      </c>
      <c r="E20" s="102" t="str">
        <f ca="1">IF(INDEX(INDIRECT($K$1&amp;":"&amp;$K$2),$C20,1)=0,"",INDEX(INDIRECT($K$1&amp;":"&amp;$K$2),$C20,1))</f>
        <v>RJ45 copper 100BASE-TX for configuration only</v>
      </c>
      <c r="F20" s="218" t="str">
        <f ca="1">IF(INDEX(INDIRECT($K$1&amp;":"&amp;$K$2),$C20,1)=0,"",INDEX(INDIRECT($K$1&amp;":"&amp;$K$2),$C20,2))</f>
        <v>C</v>
      </c>
      <c r="G20" s="216">
        <f ca="1">IF(INDEX(INDIRECT($K$1&amp;":"&amp;$K$2),$C20,1)=0,"",INDEX(INDIRECT($K$1&amp;":"&amp;$K$2),$C20,3))</f>
        <v>0</v>
      </c>
      <c r="H20" s="216" t="str">
        <f ca="1">IF(INDEX(INDIRECT($K$1&amp;":"&amp;$K$2),$C20,1)=0,"",INDEX(INDIRECT($K$1&amp;":"&amp;$K$2),$C20,4))</f>
        <v>Y</v>
      </c>
      <c r="J20" s="275" t="str">
        <f t="shared" ref="J20" ca="1" si="3">IF(INDEX(INDIRECT($K$1&amp;":"&amp;$K$2),$C20,1)=0,"",INDEX(INDIRECT($K$1&amp;":"&amp;$K$2),$C20,1))</f>
        <v>RJ45 copper 100BASE-TX for configuration only</v>
      </c>
      <c r="K20" s="275"/>
      <c r="L20" s="275"/>
    </row>
    <row r="21" spans="1:13" x14ac:dyDescent="0.2">
      <c r="A21" s="218"/>
      <c r="B21" s="102"/>
      <c r="C21" s="237">
        <f>C20+1</f>
        <v>18</v>
      </c>
      <c r="D21" s="237">
        <f>D20+1</f>
        <v>2</v>
      </c>
      <c r="E21" s="102" t="str">
        <f ca="1">IF(INDEX(INDIRECT($K$1&amp;":"&amp;$K$2),$C21,1)=0,"",INDEX(INDIRECT($K$1&amp;":"&amp;$K$2),$C21,1))</f>
        <v>RJ45 copper 100BASE-TX for NTP server and configuration</v>
      </c>
      <c r="F21" s="218" t="str">
        <f ca="1">IF(INDEX(INDIRECT($K$1&amp;":"&amp;$K$2),$C21,1)=0,"",INDEX(INDIRECT($K$1&amp;":"&amp;$K$2),$C21,2))</f>
        <v>N</v>
      </c>
      <c r="G21" s="216">
        <f ca="1">IF(INDEX(INDIRECT($K$1&amp;":"&amp;$K$2),$C21,1)=0,"",INDEX(INDIRECT($K$1&amp;":"&amp;$K$2),$C21,3))</f>
        <v>0</v>
      </c>
      <c r="H21" s="216" t="str">
        <f ca="1">IF(INDEX(INDIRECT($K$1&amp;":"&amp;$K$2),$C21,1)=0,"",INDEX(INDIRECT($K$1&amp;":"&amp;$K$2),$C21,4))</f>
        <v>Y</v>
      </c>
      <c r="J21" s="271" t="str">
        <f ca="1">IF($D$14&lt;=1,HLOOKUP(Language!$C$3,Language!$E$1:$Z489,70,FALSE),IF(INDEX(INDIRECT($K$1&amp;":"&amp;$K$2),$C21,1)=0,"",INDEX(INDIRECT($K$1&amp;":"&amp;$K$2),$C21,1)))</f>
        <v>RJ45 copper 100BASE-TX for NTP server and configuration</v>
      </c>
      <c r="K21" s="271"/>
      <c r="L21" s="271"/>
    </row>
    <row r="22" spans="1:13" x14ac:dyDescent="0.2">
      <c r="A22" s="218"/>
      <c r="B22" s="102"/>
      <c r="C22" s="237">
        <f t="shared" ref="C22" si="4">C21+1</f>
        <v>19</v>
      </c>
      <c r="D22" s="237">
        <f t="shared" ref="D22" si="5">D21+1</f>
        <v>3</v>
      </c>
      <c r="E22" s="102" t="str">
        <f ca="1">IF(INDEX(INDIRECT($K$1&amp;":"&amp;$K$2),$C22,1)=0,"",INDEX(INDIRECT($K$1&amp;":"&amp;$K$2),$C22,1))</f>
        <v>RJ45 copper 100BASE-TX for PTP (IEEE 1588) server, NTP server and configuration</v>
      </c>
      <c r="F22" s="218" t="str">
        <f ca="1">IF(INDEX(INDIRECT($K$1&amp;":"&amp;$K$2),$C22,1)=0,"",INDEX(INDIRECT($K$1&amp;":"&amp;$K$2),$C22,2))</f>
        <v>P</v>
      </c>
      <c r="G22" s="216">
        <f ca="1">IF(INDEX(INDIRECT($K$1&amp;":"&amp;$K$2),$C22,1)=0,"",INDEX(INDIRECT($K$1&amp;":"&amp;$K$2),$C22,3))</f>
        <v>0</v>
      </c>
      <c r="H22" s="216" t="str">
        <f ca="1">IF(INDEX(INDIRECT($K$1&amp;":"&amp;$K$2),$C22,1)=0,"",INDEX(INDIRECT($K$1&amp;":"&amp;$K$2),$C22,4))</f>
        <v>Y</v>
      </c>
      <c r="J22" s="271" t="str">
        <f ca="1">IF($D$14&lt;=2,HLOOKUP(Language!$C$3,Language!$E$1:$Z489,70,FALSE),IF(INDEX(INDIRECT($K$1&amp;":"&amp;$K$2),$C22,1)=0,"",INDEX(INDIRECT($K$1&amp;":"&amp;$K$2),$C22,1)))</f>
        <v>RJ45 copper 100BASE-TX for PTP (IEEE 1588) server, NTP server and configuration</v>
      </c>
      <c r="K22" s="271"/>
      <c r="L22" s="271"/>
    </row>
    <row r="24" spans="1:13" x14ac:dyDescent="0.2">
      <c r="A24" s="208">
        <v>5</v>
      </c>
      <c r="B24" s="16" t="str">
        <f ca="1">INDIRECT("'Date Drivers'!B"&amp;C25)</f>
        <v>Customization / Regionalisation</v>
      </c>
      <c r="C24" s="236" t="s">
        <v>14</v>
      </c>
      <c r="D24" s="236">
        <v>1</v>
      </c>
      <c r="E24" s="19" t="str">
        <f ca="1">VLOOKUP($D24,$D25:$H26,2)</f>
        <v>GE branding</v>
      </c>
      <c r="F24" s="19" t="str">
        <f ca="1">VLOOKUP($D24,$D25:$H26,3)</f>
        <v>C</v>
      </c>
      <c r="G24" s="232">
        <f ca="1">VLOOKUP($D24,$D25:$H26,4)</f>
        <v>0</v>
      </c>
      <c r="H24" s="232" t="str">
        <f ca="1">VLOOKUP($D24,$D25:$H26,5)</f>
        <v>Y</v>
      </c>
    </row>
    <row r="25" spans="1:13" x14ac:dyDescent="0.2">
      <c r="C25" s="218">
        <f>MATCH(A24,'Date Drivers'!A:A,0)</f>
        <v>21</v>
      </c>
      <c r="D25" s="218">
        <v>1</v>
      </c>
      <c r="E25" s="102" t="str">
        <f ca="1">IF(INDEX(INDIRECT($K$1&amp;":"&amp;$K$2),$C25,1)=0,"",INDEX(INDIRECT($K$1&amp;":"&amp;$K$2),$C25,1))</f>
        <v>GE branding</v>
      </c>
      <c r="F25" s="218" t="str">
        <f ca="1">IF(INDEX(INDIRECT($K$1&amp;":"&amp;$K$2),$C25,1)=0,"",INDEX(INDIRECT($K$1&amp;":"&amp;$K$2),$C25,2))</f>
        <v>C</v>
      </c>
      <c r="G25" s="216">
        <f ca="1">IF(INDEX(INDIRECT($K$1&amp;":"&amp;$K$2),$C25,1)=0,"",INDEX(INDIRECT($K$1&amp;":"&amp;$K$2),$C25,3))</f>
        <v>0</v>
      </c>
      <c r="H25" s="216" t="str">
        <f ca="1">IF(INDEX(INDIRECT($K$1&amp;":"&amp;$K$2),$C25,1)=0,"",INDEX(INDIRECT($K$1&amp;":"&amp;$K$2),$C25,4))</f>
        <v>Y</v>
      </c>
    </row>
    <row r="26" spans="1:13" x14ac:dyDescent="0.2">
      <c r="C26" s="237">
        <f>C25+1</f>
        <v>22</v>
      </c>
      <c r="D26" s="237">
        <f>D25+1</f>
        <v>2</v>
      </c>
      <c r="E26" s="102" t="str">
        <f ca="1">IF(INDEX(INDIRECT($K$1&amp;":"&amp;$K$2),$C26,1)=0,"",INDEX(INDIRECT($K$1&amp;":"&amp;$K$2),$C26,1))</f>
        <v/>
      </c>
      <c r="F26" s="218" t="str">
        <f ca="1">IF(INDEX(INDIRECT($K$1&amp;":"&amp;$K$2),$C26,1)=0,"",INDEX(INDIRECT($K$1&amp;":"&amp;$K$2),$C26,2))</f>
        <v/>
      </c>
      <c r="G26" s="216" t="str">
        <f ca="1">IF(INDEX(INDIRECT($K$1&amp;":"&amp;$K$2),$C26,1)=0,"",INDEX(INDIRECT($K$1&amp;":"&amp;$K$2),$C26,3))</f>
        <v/>
      </c>
      <c r="H26" s="216" t="str">
        <f ca="1">IF(INDEX(INDIRECT($K$1&amp;":"&amp;$K$2),$C26,1)=0,"",INDEX(INDIRECT($K$1&amp;":"&amp;$K$2),$C26,4))</f>
        <v/>
      </c>
    </row>
    <row r="28" spans="1:13" x14ac:dyDescent="0.2">
      <c r="A28" s="208">
        <v>6</v>
      </c>
      <c r="B28" s="16" t="str">
        <f ca="1">INDIRECT("'Date Drivers'!B"&amp;C29)</f>
        <v>Firmware Version</v>
      </c>
      <c r="C28" s="236" t="s">
        <v>14</v>
      </c>
      <c r="D28" s="236">
        <v>1</v>
      </c>
      <c r="E28" s="19" t="str">
        <f ca="1">VLOOKUP($D28,$D29:$H31,2)</f>
        <v>Latest available firmware - 08</v>
      </c>
      <c r="F28" s="19" t="str">
        <f ca="1">VLOOKUP($D28,$D29:$H31,3)</f>
        <v>08</v>
      </c>
      <c r="G28" s="232">
        <f ca="1">VLOOKUP($D28,$D29:$H31,4)</f>
        <v>0</v>
      </c>
      <c r="H28" s="232" t="str">
        <f ca="1">VLOOKUP($D28,$D29:$H31,5)</f>
        <v>Y</v>
      </c>
    </row>
    <row r="29" spans="1:13" x14ac:dyDescent="0.2">
      <c r="C29" s="218">
        <f>MATCH(A28,'Date Drivers'!A:A,0)</f>
        <v>24</v>
      </c>
      <c r="D29" s="218">
        <v>1</v>
      </c>
      <c r="E29" s="102" t="str">
        <f ca="1">IF(INDEX(INDIRECT($K$1&amp;":"&amp;$K$2),$C29,1)=0,"",INDEX(INDIRECT($K$1&amp;":"&amp;$K$2),$C29,1))</f>
        <v>Latest available firmware - 08</v>
      </c>
      <c r="F29" s="218" t="str">
        <f ca="1">IF(INDEX(INDIRECT($K$1&amp;":"&amp;$K$2),$C29,1)=0,"",INDEX(INDIRECT($K$1&amp;":"&amp;$K$2),$C29,2))</f>
        <v>08</v>
      </c>
      <c r="G29" s="216">
        <f ca="1">IF(INDEX(INDIRECT($K$1&amp;":"&amp;$K$2),$C29,1)=0,"",INDEX(INDIRECT($K$1&amp;":"&amp;$K$2),$C29,3))</f>
        <v>0</v>
      </c>
      <c r="H29" s="216" t="str">
        <f ca="1">IF(INDEX(INDIRECT($K$1&amp;":"&amp;$K$2),$C29,1)=0,"",INDEX(INDIRECT($K$1&amp;":"&amp;$K$2),$C29,4))</f>
        <v>Y</v>
      </c>
    </row>
    <row r="30" spans="1:13" x14ac:dyDescent="0.2">
      <c r="C30" s="237">
        <f>C29+1</f>
        <v>25</v>
      </c>
      <c r="D30" s="237">
        <f>D29+1</f>
        <v>2</v>
      </c>
      <c r="E30" s="102" t="str">
        <f ca="1">IF(INDEX(INDIRECT($K$1&amp;":"&amp;$K$2),$C30,1)=0,"",INDEX(INDIRECT($K$1&amp;":"&amp;$K$2),$C30,1))</f>
        <v>Firmware version number - 07</v>
      </c>
      <c r="F30" s="218" t="str">
        <f ca="1">IF(INDEX(INDIRECT($K$1&amp;":"&amp;$K$2),$C30,1)=0,"",INDEX(INDIRECT($K$1&amp;":"&amp;$K$2),$C30,2))</f>
        <v>07</v>
      </c>
      <c r="G30" s="216">
        <f ca="1">IF(INDEX(INDIRECT($K$1&amp;":"&amp;$K$2),$C30,1)=0,"",INDEX(INDIRECT($K$1&amp;":"&amp;$K$2),$C30,3))</f>
        <v>0</v>
      </c>
      <c r="H30" s="216" t="str">
        <f ca="1">IF(INDEX(INDIRECT($K$1&amp;":"&amp;$K$2),$C30,1)=0,"",INDEX(INDIRECT($K$1&amp;":"&amp;$K$2),$C30,4))</f>
        <v>Y</v>
      </c>
    </row>
    <row r="31" spans="1:13" x14ac:dyDescent="0.2">
      <c r="C31" s="237">
        <f>C30+1</f>
        <v>26</v>
      </c>
      <c r="D31" s="237">
        <f>D30+1</f>
        <v>3</v>
      </c>
      <c r="E31" s="102" t="str">
        <f ca="1">IF(INDEX(INDIRECT($K$1&amp;":"&amp;$K$2),$C31,1)=0,"",INDEX(INDIRECT($K$1&amp;":"&amp;$K$2),$C31,1))</f>
        <v/>
      </c>
      <c r="F31" s="218" t="str">
        <f ca="1">IF(INDEX(INDIRECT($K$1&amp;":"&amp;$K$2),$C31,1)=0,"",INDEX(INDIRECT($K$1&amp;":"&amp;$K$2),$C31,2))</f>
        <v/>
      </c>
      <c r="G31" s="216" t="str">
        <f ca="1">IF(INDEX(INDIRECT($K$1&amp;":"&amp;$K$2),$C31,1)=0,"",INDEX(INDIRECT($K$1&amp;":"&amp;$K$2),$C31,3))</f>
        <v/>
      </c>
      <c r="H31" s="216" t="str">
        <f ca="1">IF(INDEX(INDIRECT($K$1&amp;":"&amp;$K$2),$C31,1)=0,"",INDEX(INDIRECT($K$1&amp;":"&amp;$K$2),$C31,4))</f>
        <v/>
      </c>
    </row>
    <row r="33" spans="1:8" x14ac:dyDescent="0.2">
      <c r="A33" s="208">
        <v>7</v>
      </c>
      <c r="B33" s="16" t="str">
        <f ca="1">INDIRECT("'Date Drivers'!B"&amp;C34)</f>
        <v>Hardware Design Suffix</v>
      </c>
      <c r="C33" s="236" t="s">
        <v>14</v>
      </c>
      <c r="D33" s="236">
        <v>1</v>
      </c>
      <c r="E33" s="19" t="str">
        <f ca="1">VLOOKUP($D33,$D34:$H34,2)</f>
        <v>Initial version</v>
      </c>
      <c r="F33" s="19" t="str">
        <f ca="1">VLOOKUP($D33,$D34:$H34,3)</f>
        <v>A</v>
      </c>
      <c r="G33" s="232">
        <f ca="1">VLOOKUP($D33,$D34:$H34,4)</f>
        <v>0</v>
      </c>
      <c r="H33" s="232" t="str">
        <f ca="1">VLOOKUP($D33,$D34:$H34,5)</f>
        <v>Y</v>
      </c>
    </row>
    <row r="34" spans="1:8" x14ac:dyDescent="0.2">
      <c r="A34" s="218"/>
      <c r="C34" s="218">
        <f>MATCH(A33,'Date Drivers'!A:A,0)</f>
        <v>27</v>
      </c>
      <c r="D34" s="218">
        <v>1</v>
      </c>
      <c r="E34" s="102" t="str">
        <f ca="1">IF(INDEX(INDIRECT($K$1&amp;":"&amp;$K$2),$C34,1)=0,"",INDEX(INDIRECT($K$1&amp;":"&amp;$K$2),$C34,1))</f>
        <v>Initial version</v>
      </c>
      <c r="F34" s="218" t="str">
        <f ca="1">IF(INDEX(INDIRECT($K$1&amp;":"&amp;$K$2),$C34,1)=0,"",INDEX(INDIRECT($K$1&amp;":"&amp;$K$2),$C34,2))</f>
        <v>A</v>
      </c>
      <c r="G34" s="216">
        <f ca="1">IF(INDEX(INDIRECT($K$1&amp;":"&amp;$K$2),$C34,1)=0,"",INDEX(INDIRECT($K$1&amp;":"&amp;$K$2),$C34,3))</f>
        <v>0</v>
      </c>
      <c r="H34" s="216" t="str">
        <f ca="1">IF(INDEX(INDIRECT($K$1&amp;":"&amp;$K$2),$C34,1)=0,"",INDEX(INDIRECT($K$1&amp;":"&amp;$K$2),$C34,4))</f>
        <v>Y</v>
      </c>
    </row>
    <row r="36" spans="1:8" x14ac:dyDescent="0.2">
      <c r="A36" s="208">
        <v>8</v>
      </c>
      <c r="B36" s="16" t="str">
        <f ca="1">INDIRECT("'Date Drivers'!B"&amp;C37)</f>
        <v>GPS Antenna</v>
      </c>
      <c r="C36" s="236" t="s">
        <v>14</v>
      </c>
      <c r="D36" s="236">
        <v>2</v>
      </c>
      <c r="E36" s="19" t="str">
        <f ca="1">VLOOKUP($D36,$D37:$H38,2)</f>
        <v>3.3V TNC Female active GNSS antenna</v>
      </c>
      <c r="F36" s="19">
        <f ca="1">VLOOKUP($D36,$D37:$H38,3)</f>
        <v>2</v>
      </c>
      <c r="G36" s="232">
        <f ca="1">VLOOKUP($D36,$D37:$H38,4)</f>
        <v>0</v>
      </c>
      <c r="H36" s="232" t="str">
        <f ca="1">VLOOKUP($D36,$D37:$H38,5)</f>
        <v>Y</v>
      </c>
    </row>
    <row r="37" spans="1:8" x14ac:dyDescent="0.2">
      <c r="C37" s="218">
        <f>MATCH(A36,'Date Drivers'!A:A,0)</f>
        <v>29</v>
      </c>
      <c r="D37" s="218">
        <v>1</v>
      </c>
      <c r="E37" s="102" t="str">
        <f ca="1">IF(INDEX(INDIRECT($K$1&amp;":"&amp;$K$2),$C37,1)=0,"",INDEX(INDIRECT($K$1&amp;":"&amp;$K$2),$C37,1))</f>
        <v>Without antenna</v>
      </c>
      <c r="F37" s="218">
        <f ca="1">IF(INDEX(INDIRECT($K$1&amp;":"&amp;$K$2),$C37,1)=0,"",INDEX(INDIRECT($K$1&amp;":"&amp;$K$2),$C37,2))</f>
        <v>0</v>
      </c>
      <c r="G37" s="216">
        <f ca="1">IF(INDEX(INDIRECT($K$1&amp;":"&amp;$K$2),$C37,1)=0,"",INDEX(INDIRECT($K$1&amp;":"&amp;$K$2),$C37,3))</f>
        <v>0</v>
      </c>
      <c r="H37" s="216" t="str">
        <f ca="1">IF(INDEX(INDIRECT($K$1&amp;":"&amp;$K$2),$C37,1)=0,"",INDEX(INDIRECT($K$1&amp;":"&amp;$K$2),$C37,4))</f>
        <v>Y</v>
      </c>
    </row>
    <row r="38" spans="1:8" x14ac:dyDescent="0.2">
      <c r="C38" s="237">
        <f>C37+1</f>
        <v>30</v>
      </c>
      <c r="D38" s="237">
        <f>D37+1</f>
        <v>2</v>
      </c>
      <c r="E38" s="102" t="str">
        <f ca="1">IF(INDEX(INDIRECT($K$1&amp;":"&amp;$K$2),$C38,1)=0,"",INDEX(INDIRECT($K$1&amp;":"&amp;$K$2),$C38,1))</f>
        <v>3.3V TNC Female active GNSS antenna</v>
      </c>
      <c r="F38" s="218">
        <f ca="1">IF(INDEX(INDIRECT($K$1&amp;":"&amp;$K$2),$C38,1)=0,"",INDEX(INDIRECT($K$1&amp;":"&amp;$K$2),$C38,2))</f>
        <v>2</v>
      </c>
      <c r="G38" s="216">
        <f ca="1">IF(INDEX(INDIRECT($K$1&amp;":"&amp;$K$2),$C38,1)=0,"",INDEX(INDIRECT($K$1&amp;":"&amp;$K$2),$C38,3))</f>
        <v>0</v>
      </c>
      <c r="H38" s="216" t="str">
        <f ca="1">IF(INDEX(INDIRECT($K$1&amp;":"&amp;$K$2),$C38,1)=0,"",INDEX(INDIRECT($K$1&amp;":"&amp;$K$2),$C38,4))</f>
        <v>Y</v>
      </c>
    </row>
    <row r="40" spans="1:8" x14ac:dyDescent="0.2">
      <c r="A40" s="208">
        <v>9</v>
      </c>
      <c r="B40" s="16" t="str">
        <f ca="1">INDIRECT("'Date Drivers'!B"&amp;C41)</f>
        <v>Antenna Cable</v>
      </c>
      <c r="C40" s="236" t="s">
        <v>14</v>
      </c>
      <c r="D40" s="236">
        <v>3</v>
      </c>
      <c r="E40" s="19" t="str">
        <f ca="1">VLOOKUP($D40,$D41:$H47,2)</f>
        <v>25 m (82 ft) TNC Male to BNC Male (Attennuation &lt; 0.5 dB/m @ 1500 MHZ)</v>
      </c>
      <c r="F40" s="19">
        <f ca="1">VLOOKUP($D40,$D41:$H47,3)</f>
        <v>2</v>
      </c>
      <c r="G40" s="232">
        <f ca="1">VLOOKUP($D40,$D41:$H47,4)</f>
        <v>0</v>
      </c>
      <c r="H40" s="232" t="str">
        <f ca="1">VLOOKUP($D40,$D41:$H47,5)</f>
        <v>Y</v>
      </c>
    </row>
    <row r="41" spans="1:8" x14ac:dyDescent="0.2">
      <c r="A41" s="218"/>
      <c r="C41" s="218">
        <f>MATCH(A40,'Date Drivers'!A:A,0)</f>
        <v>32</v>
      </c>
      <c r="D41" s="218">
        <v>1</v>
      </c>
      <c r="E41" s="102" t="str">
        <f t="shared" ref="E41:E47" ca="1" si="6">IF(INDEX(INDIRECT($K$1&amp;":"&amp;$K$2),$C41,1)=0,"",INDEX(INDIRECT($K$1&amp;":"&amp;$K$2),$C41,1))</f>
        <v>No cable</v>
      </c>
      <c r="F41" s="218">
        <f t="shared" ref="F41:F47" ca="1" si="7">IF(INDEX(INDIRECT($K$1&amp;":"&amp;$K$2),$C41,1)=0,"",INDEX(INDIRECT($K$1&amp;":"&amp;$K$2),$C41,2))</f>
        <v>0</v>
      </c>
      <c r="G41" s="216">
        <f t="shared" ref="G41:G47" ca="1" si="8">IF(INDEX(INDIRECT($K$1&amp;":"&amp;$K$2),$C41,1)=0,"",INDEX(INDIRECT($K$1&amp;":"&amp;$K$2),$C41,3))</f>
        <v>0</v>
      </c>
      <c r="H41" s="216" t="str">
        <f t="shared" ref="H41:H47" ca="1" si="9">IF(INDEX(INDIRECT($K$1&amp;":"&amp;$K$2),$C41,1)=0,"",INDEX(INDIRECT($K$1&amp;":"&amp;$K$2),$C41,4))</f>
        <v>Y</v>
      </c>
    </row>
    <row r="42" spans="1:8" x14ac:dyDescent="0.2">
      <c r="A42" s="218"/>
      <c r="C42" s="237">
        <f>C41+1</f>
        <v>33</v>
      </c>
      <c r="D42" s="237">
        <f>D41+1</f>
        <v>2</v>
      </c>
      <c r="E42" s="102" t="str">
        <f t="shared" ca="1" si="6"/>
        <v>15 m (50 ft) TNC Male to BNC Male (Attennuation &lt; 0.5 dB/m @ 1500 MHZ)</v>
      </c>
      <c r="F42" s="218">
        <f t="shared" ca="1" si="7"/>
        <v>1</v>
      </c>
      <c r="G42" s="216">
        <f t="shared" ca="1" si="8"/>
        <v>0</v>
      </c>
      <c r="H42" s="216" t="str">
        <f t="shared" ca="1" si="9"/>
        <v>Y</v>
      </c>
    </row>
    <row r="43" spans="1:8" x14ac:dyDescent="0.2">
      <c r="A43" s="218"/>
      <c r="C43" s="237">
        <f t="shared" ref="C43:C47" si="10">C42+1</f>
        <v>34</v>
      </c>
      <c r="D43" s="237">
        <f t="shared" ref="D43:D47" si="11">D42+1</f>
        <v>3</v>
      </c>
      <c r="E43" s="102" t="str">
        <f t="shared" ca="1" si="6"/>
        <v>25 m (82 ft) TNC Male to BNC Male (Attennuation &lt; 0.5 dB/m @ 1500 MHZ)</v>
      </c>
      <c r="F43" s="218">
        <f t="shared" ca="1" si="7"/>
        <v>2</v>
      </c>
      <c r="G43" s="216">
        <f t="shared" ca="1" si="8"/>
        <v>0</v>
      </c>
      <c r="H43" s="216" t="str">
        <f t="shared" ca="1" si="9"/>
        <v>Y</v>
      </c>
    </row>
    <row r="44" spans="1:8" x14ac:dyDescent="0.2">
      <c r="A44" s="218"/>
      <c r="C44" s="237">
        <f t="shared" si="10"/>
        <v>35</v>
      </c>
      <c r="D44" s="237">
        <f t="shared" si="11"/>
        <v>4</v>
      </c>
      <c r="E44" s="102" t="str">
        <f t="shared" ca="1" si="6"/>
        <v>40 m (131 ft) TNC Male to BNC Male (Attennuation &lt; 0.5 dB/m @ 1500 MHZ)</v>
      </c>
      <c r="F44" s="218">
        <f t="shared" ca="1" si="7"/>
        <v>3</v>
      </c>
      <c r="G44" s="216">
        <f t="shared" ca="1" si="8"/>
        <v>0</v>
      </c>
      <c r="H44" s="216" t="str">
        <f t="shared" ca="1" si="9"/>
        <v>Y</v>
      </c>
    </row>
    <row r="45" spans="1:8" x14ac:dyDescent="0.2">
      <c r="A45" s="218"/>
      <c r="C45" s="237">
        <f t="shared" si="10"/>
        <v>36</v>
      </c>
      <c r="D45" s="237">
        <f t="shared" si="11"/>
        <v>5</v>
      </c>
      <c r="E45" s="102" t="str">
        <f t="shared" ca="1" si="6"/>
        <v>75 m (246 ft) TNC Male to BNC Male (Attennuation &lt; 0.2 dB/m @ 1500 MHZ)</v>
      </c>
      <c r="F45" s="218">
        <f t="shared" ca="1" si="7"/>
        <v>4</v>
      </c>
      <c r="G45" s="216">
        <f t="shared" ca="1" si="8"/>
        <v>0</v>
      </c>
      <c r="H45" s="216" t="str">
        <f t="shared" ca="1" si="9"/>
        <v>Y</v>
      </c>
    </row>
    <row r="46" spans="1:8" x14ac:dyDescent="0.2">
      <c r="A46" s="218"/>
      <c r="C46" s="237">
        <f t="shared" si="10"/>
        <v>37</v>
      </c>
      <c r="D46" s="237">
        <f t="shared" si="11"/>
        <v>6</v>
      </c>
      <c r="E46" s="102" t="str">
        <f t="shared" ca="1" si="6"/>
        <v>100 m (328 ft) TNC Male to BNC Male (Attennuation &lt; 0.2 dB/m @ 1500 MHZ)</v>
      </c>
      <c r="F46" s="218">
        <f t="shared" ca="1" si="7"/>
        <v>5</v>
      </c>
      <c r="G46" s="216">
        <f t="shared" ca="1" si="8"/>
        <v>0</v>
      </c>
      <c r="H46" s="216" t="str">
        <f t="shared" ca="1" si="9"/>
        <v>Y</v>
      </c>
    </row>
    <row r="47" spans="1:8" x14ac:dyDescent="0.2">
      <c r="C47" s="237">
        <f t="shared" si="10"/>
        <v>38</v>
      </c>
      <c r="D47" s="237">
        <f t="shared" si="11"/>
        <v>7</v>
      </c>
      <c r="E47" s="102" t="str">
        <f t="shared" ca="1" si="6"/>
        <v>150 m (492 ft) TNC Male to BNC Male (Attennuation &lt; 0.2 dB/m @ 1500 MHZ)</v>
      </c>
      <c r="F47" s="218">
        <f t="shared" ca="1" si="7"/>
        <v>6</v>
      </c>
      <c r="G47" s="216">
        <f t="shared" ca="1" si="8"/>
        <v>0</v>
      </c>
      <c r="H47" s="216" t="str">
        <f t="shared" ca="1" si="9"/>
        <v>Y</v>
      </c>
    </row>
    <row r="48" spans="1:8" x14ac:dyDescent="0.2">
      <c r="A48" s="208">
        <v>10</v>
      </c>
      <c r="B48" s="16" t="str">
        <f ca="1">INDIRECT("'Date Drivers'!B"&amp;C49)</f>
        <v>Surge Arrester</v>
      </c>
      <c r="C48" s="236" t="s">
        <v>14</v>
      </c>
      <c r="D48" s="236">
        <v>1</v>
      </c>
      <c r="E48" s="19" t="str">
        <f ca="1">VLOOKUP($D48,$D49:$H50,2)</f>
        <v>Without surge arrester</v>
      </c>
      <c r="F48" s="19">
        <f ca="1">VLOOKUP($D48,$D49:$H50,3)</f>
        <v>0</v>
      </c>
      <c r="G48" s="232">
        <f ca="1">VLOOKUP($D48,$D49:$H50,4)</f>
        <v>0</v>
      </c>
      <c r="H48" s="232" t="str">
        <f ca="1">VLOOKUP($D48,$D49:$H50,5)</f>
        <v>Y</v>
      </c>
    </row>
    <row r="49" spans="3:8" x14ac:dyDescent="0.2">
      <c r="C49" s="218">
        <f>MATCH(A48,'Date Drivers'!A:A,0)</f>
        <v>39</v>
      </c>
      <c r="D49" s="218">
        <v>1</v>
      </c>
      <c r="E49" s="102" t="str">
        <f ca="1">IF(INDEX(INDIRECT($K$1&amp;":"&amp;$K$2),$C49,1)=0,"",INDEX(INDIRECT($K$1&amp;":"&amp;$K$2),$C49,1))</f>
        <v>Without surge arrester</v>
      </c>
      <c r="F49" s="218">
        <f ca="1">IF(INDEX(INDIRECT($K$1&amp;":"&amp;$K$2),$C49,1)=0,"",INDEX(INDIRECT($K$1&amp;":"&amp;$K$2),$C49,2))</f>
        <v>0</v>
      </c>
      <c r="G49" s="216">
        <f ca="1">IF(INDEX(INDIRECT($K$1&amp;":"&amp;$K$2),$C49,1)=0,"",INDEX(INDIRECT($K$1&amp;":"&amp;$K$2),$C49,3))</f>
        <v>0</v>
      </c>
      <c r="H49" s="216" t="str">
        <f ca="1">IF(INDEX(INDIRECT($K$1&amp;":"&amp;$K$2),$C49,1)=0,"",INDEX(INDIRECT($K$1&amp;":"&amp;$K$2),$C49,4))</f>
        <v>Y</v>
      </c>
    </row>
    <row r="50" spans="3:8" x14ac:dyDescent="0.2">
      <c r="C50" s="237">
        <f>C49+1</f>
        <v>40</v>
      </c>
      <c r="D50" s="237">
        <f>D49+1</f>
        <v>2</v>
      </c>
      <c r="E50" s="102" t="str">
        <f ca="1">IF(INDEX(INDIRECT($K$1&amp;":"&amp;$K$2),$C50,1)=0,"",INDEX(INDIRECT($K$1&amp;":"&amp;$K$2),$C50,1))</f>
        <v>10 kA, 50 Ohms, BNC-type connector Surge Arrester for 0-2000 MHz</v>
      </c>
      <c r="F50" s="218">
        <f ca="1">IF(INDEX(INDIRECT($K$1&amp;":"&amp;$K$2),$C50,1)=0,"",INDEX(INDIRECT($K$1&amp;":"&amp;$K$2),$C50,2))</f>
        <v>1</v>
      </c>
      <c r="G50" s="216">
        <f ca="1">IF(INDEX(INDIRECT($K$1&amp;":"&amp;$K$2),$C50,1)=0,"",INDEX(INDIRECT($K$1&amp;":"&amp;$K$2),$C50,3))</f>
        <v>0</v>
      </c>
      <c r="H50" s="216" t="str">
        <f ca="1">IF(INDEX(INDIRECT($K$1&amp;":"&amp;$K$2),$C50,1)=0,"",INDEX(INDIRECT($K$1&amp;":"&amp;$K$2),$C50,4))</f>
        <v>Y</v>
      </c>
    </row>
    <row r="51" spans="3:8" x14ac:dyDescent="0.2">
      <c r="C51" s="237"/>
      <c r="D51" s="237"/>
      <c r="E51" s="102"/>
      <c r="F51" s="218"/>
      <c r="G51" s="216"/>
      <c r="H51" s="216"/>
    </row>
    <row r="52" spans="3:8" x14ac:dyDescent="0.2">
      <c r="C52" s="237"/>
      <c r="D52" s="237"/>
      <c r="E52" s="102"/>
      <c r="F52" s="218"/>
      <c r="G52" s="216"/>
      <c r="H52" s="216"/>
    </row>
    <row r="53" spans="3:8" x14ac:dyDescent="0.2">
      <c r="C53" s="237"/>
      <c r="D53" s="237"/>
      <c r="E53" s="102"/>
      <c r="F53" s="218"/>
      <c r="G53" s="216"/>
      <c r="H53" s="216"/>
    </row>
    <row r="54" spans="3:8" x14ac:dyDescent="0.2">
      <c r="C54" s="237"/>
      <c r="D54" s="237"/>
      <c r="E54" s="102"/>
      <c r="F54" s="218"/>
      <c r="G54" s="216"/>
      <c r="H54" s="216"/>
    </row>
    <row r="55" spans="3:8" x14ac:dyDescent="0.2">
      <c r="C55" s="237"/>
      <c r="D55" s="237"/>
      <c r="E55" s="102"/>
      <c r="F55" s="218"/>
      <c r="G55" s="216"/>
      <c r="H55" s="216"/>
    </row>
  </sheetData>
  <mergeCells count="4">
    <mergeCell ref="J21:L21"/>
    <mergeCell ref="J22:L22"/>
    <mergeCell ref="J19:L19"/>
    <mergeCell ref="J20:L20"/>
  </mergeCells>
  <phoneticPr fontId="19" type="noConversion"/>
  <pageMargins left="0.7" right="0.7" top="0.75" bottom="0.75" header="0.3" footer="0.3"/>
  <pageSetup paperSize="9" orientation="portrait" r:id="rId1"/>
  <ignoredErrors>
    <ignoredError sqref="E48:H48"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dimension ref="A1:AH41"/>
  <sheetViews>
    <sheetView topLeftCell="X1" workbookViewId="0">
      <selection activeCell="AE39" sqref="AE39"/>
    </sheetView>
  </sheetViews>
  <sheetFormatPr defaultRowHeight="12" x14ac:dyDescent="0.2"/>
  <cols>
    <col min="1" max="1" width="9.140625" style="218"/>
    <col min="2" max="2" width="34" style="3" bestFit="1" customWidth="1"/>
    <col min="3" max="3" width="72.5703125" style="216" bestFit="1" customWidth="1"/>
    <col min="4" max="6" width="10.7109375" style="216" customWidth="1"/>
    <col min="7" max="7" width="72.5703125" style="216" bestFit="1" customWidth="1"/>
    <col min="8" max="10" width="10.7109375" style="216" customWidth="1"/>
    <col min="11" max="11" width="72.5703125" style="216" bestFit="1" customWidth="1"/>
    <col min="12" max="14" width="10.7109375" style="216" customWidth="1"/>
    <col min="15" max="15" width="72.5703125" style="216" bestFit="1" customWidth="1"/>
    <col min="16" max="18" width="10.7109375" style="216" customWidth="1"/>
    <col min="19" max="19" width="72.5703125" style="216" bestFit="1" customWidth="1"/>
    <col min="20" max="22" width="10.7109375" style="216" customWidth="1"/>
    <col min="23" max="23" width="68.28515625" style="3" bestFit="1" customWidth="1"/>
    <col min="24" max="26" width="9.140625" style="3"/>
    <col min="27" max="27" width="68.28515625" style="3" bestFit="1" customWidth="1"/>
    <col min="28" max="30" width="9.140625" style="3"/>
    <col min="31" max="31" width="68.28515625" style="3" bestFit="1" customWidth="1"/>
    <col min="32" max="16384" width="9.140625" style="3"/>
  </cols>
  <sheetData>
    <row r="1" spans="1:34" x14ac:dyDescent="0.2">
      <c r="A1" s="199"/>
      <c r="B1" s="200" t="s">
        <v>168</v>
      </c>
      <c r="C1" s="201">
        <f>Database!$E$1</f>
        <v>42800</v>
      </c>
      <c r="D1" s="201"/>
      <c r="E1" s="201"/>
      <c r="F1" s="201"/>
      <c r="G1" s="201">
        <f>Database!$E$1</f>
        <v>42800</v>
      </c>
      <c r="H1" s="201"/>
      <c r="I1" s="201"/>
      <c r="J1" s="201"/>
      <c r="K1" s="201">
        <f>Database!$E$1</f>
        <v>42800</v>
      </c>
      <c r="L1" s="201"/>
      <c r="M1" s="201"/>
      <c r="N1" s="201"/>
      <c r="O1" s="201">
        <f>Database!$E$1</f>
        <v>42800</v>
      </c>
      <c r="P1" s="201"/>
      <c r="Q1" s="201"/>
      <c r="R1" s="201"/>
      <c r="S1" s="201">
        <f>Database!$E$1</f>
        <v>42800</v>
      </c>
      <c r="T1" s="201"/>
      <c r="U1" s="201"/>
      <c r="V1" s="201"/>
      <c r="W1" s="201">
        <f>Database!$E$1</f>
        <v>42800</v>
      </c>
      <c r="X1" s="201"/>
      <c r="Y1" s="201"/>
      <c r="Z1" s="201"/>
      <c r="AA1" s="201">
        <f>Database!$E$1</f>
        <v>42800</v>
      </c>
      <c r="AB1" s="201"/>
      <c r="AC1" s="201"/>
      <c r="AD1" s="201"/>
      <c r="AE1" s="201">
        <f>Database!$E$1</f>
        <v>42800</v>
      </c>
      <c r="AF1" s="201"/>
      <c r="AG1" s="201"/>
      <c r="AH1" s="201"/>
    </row>
    <row r="2" spans="1:34" x14ac:dyDescent="0.2">
      <c r="A2" s="199"/>
      <c r="B2" s="200" t="s">
        <v>169</v>
      </c>
      <c r="C2" s="202">
        <v>41852</v>
      </c>
      <c r="D2" s="203"/>
      <c r="E2" s="203"/>
      <c r="F2" s="203"/>
      <c r="G2" s="202">
        <v>41985</v>
      </c>
      <c r="H2" s="203"/>
      <c r="I2" s="203"/>
      <c r="J2" s="203"/>
      <c r="K2" s="202">
        <v>42130</v>
      </c>
      <c r="L2" s="203"/>
      <c r="M2" s="203"/>
      <c r="N2" s="203"/>
      <c r="O2" s="202">
        <v>42443</v>
      </c>
      <c r="P2" s="203"/>
      <c r="Q2" s="203"/>
      <c r="R2" s="203"/>
      <c r="S2" s="202">
        <v>42494</v>
      </c>
      <c r="T2" s="203"/>
      <c r="U2" s="203"/>
      <c r="V2" s="203"/>
      <c r="W2" s="202">
        <v>42555</v>
      </c>
      <c r="X2" s="203"/>
      <c r="Y2" s="203"/>
      <c r="Z2" s="203"/>
      <c r="AA2" s="202">
        <v>42650</v>
      </c>
      <c r="AB2" s="203"/>
      <c r="AC2" s="203"/>
      <c r="AD2" s="203"/>
      <c r="AE2" s="202">
        <v>42800</v>
      </c>
      <c r="AF2" s="203"/>
      <c r="AG2" s="203"/>
      <c r="AH2" s="203"/>
    </row>
    <row r="3" spans="1:34" x14ac:dyDescent="0.2">
      <c r="A3" s="204" t="s">
        <v>170</v>
      </c>
      <c r="B3" s="205" t="s">
        <v>171</v>
      </c>
      <c r="C3" s="206" t="s">
        <v>172</v>
      </c>
      <c r="D3" s="206" t="s">
        <v>173</v>
      </c>
      <c r="E3" s="206" t="s">
        <v>174</v>
      </c>
      <c r="F3" s="207" t="s">
        <v>175</v>
      </c>
      <c r="G3" s="206" t="s">
        <v>172</v>
      </c>
      <c r="H3" s="206" t="s">
        <v>173</v>
      </c>
      <c r="I3" s="206" t="s">
        <v>174</v>
      </c>
      <c r="J3" s="207" t="s">
        <v>175</v>
      </c>
      <c r="K3" s="206" t="s">
        <v>172</v>
      </c>
      <c r="L3" s="206" t="s">
        <v>173</v>
      </c>
      <c r="M3" s="206" t="s">
        <v>174</v>
      </c>
      <c r="N3" s="207" t="s">
        <v>175</v>
      </c>
      <c r="O3" s="206" t="s">
        <v>172</v>
      </c>
      <c r="P3" s="206" t="s">
        <v>173</v>
      </c>
      <c r="Q3" s="206" t="s">
        <v>174</v>
      </c>
      <c r="R3" s="207" t="s">
        <v>175</v>
      </c>
      <c r="S3" s="206" t="s">
        <v>172</v>
      </c>
      <c r="T3" s="206" t="s">
        <v>173</v>
      </c>
      <c r="U3" s="206" t="s">
        <v>174</v>
      </c>
      <c r="V3" s="207" t="s">
        <v>175</v>
      </c>
      <c r="W3" s="206" t="s">
        <v>172</v>
      </c>
      <c r="X3" s="206" t="s">
        <v>173</v>
      </c>
      <c r="Y3" s="206" t="s">
        <v>174</v>
      </c>
      <c r="Z3" s="207" t="s">
        <v>175</v>
      </c>
      <c r="AA3" s="206" t="s">
        <v>172</v>
      </c>
      <c r="AB3" s="206" t="s">
        <v>173</v>
      </c>
      <c r="AC3" s="206" t="s">
        <v>174</v>
      </c>
      <c r="AD3" s="207" t="s">
        <v>175</v>
      </c>
      <c r="AE3" s="206" t="s">
        <v>172</v>
      </c>
      <c r="AF3" s="206" t="s">
        <v>173</v>
      </c>
      <c r="AG3" s="206" t="s">
        <v>174</v>
      </c>
      <c r="AH3" s="207" t="s">
        <v>175</v>
      </c>
    </row>
    <row r="4" spans="1:34" x14ac:dyDescent="0.2">
      <c r="A4" s="208"/>
      <c r="B4" s="4" t="str">
        <f>HLOOKUP(Language!$C$3,Language!$E$1:$Z573,2,FALSE)</f>
        <v>Model Type</v>
      </c>
      <c r="C4" s="226" t="str">
        <f>CONCATENATE(C5," ",HLOOKUP(Language!$C$3,Language!$E$1:$Z502,3,FALSE))</f>
        <v>RT434 GPS Grandmaster Clock</v>
      </c>
      <c r="D4" s="209"/>
      <c r="E4" s="209"/>
      <c r="F4" s="210"/>
      <c r="G4" s="226" t="str">
        <f>CONCATENATE(G5," ",HLOOKUP(Language!$C$3,Language!$E$1:$Z502,3,FALSE))</f>
        <v>RT434 GPS Grandmaster Clock</v>
      </c>
      <c r="H4" s="209"/>
      <c r="I4" s="209"/>
      <c r="J4" s="210"/>
      <c r="K4" s="226" t="str">
        <f>CONCATENATE(K5," ",HLOOKUP(Language!$C$3,Language!$E$1:$Z502,3,FALSE))</f>
        <v>RT434 GPS Grandmaster Clock</v>
      </c>
      <c r="L4" s="209"/>
      <c r="M4" s="209"/>
      <c r="N4" s="210"/>
      <c r="O4" s="226" t="str">
        <f>CONCATENATE(O5," ",HLOOKUP(Language!$C$3,Language!$E$1:$Z502,3,FALSE))</f>
        <v>RT434 GPS Grandmaster Clock</v>
      </c>
      <c r="P4" s="209"/>
      <c r="Q4" s="209"/>
      <c r="R4" s="210"/>
      <c r="S4" s="226" t="str">
        <f>CONCATENATE(S5," ",HLOOKUP(Language!$C$3,Language!$E$1:$Z502,3,FALSE))</f>
        <v>RT434 GPS Grandmaster Clock</v>
      </c>
      <c r="T4" s="209"/>
      <c r="U4" s="209"/>
      <c r="V4" s="210"/>
      <c r="W4" s="226" t="str">
        <f>CONCATENATE(W5," ",HLOOKUP(Language!$C$3,Language!$E$1:$Z502,3,FALSE))</f>
        <v>RT434 GPS Grandmaster Clock</v>
      </c>
      <c r="X4" s="209"/>
      <c r="Y4" s="209"/>
      <c r="Z4" s="210"/>
      <c r="AA4" s="226" t="str">
        <f>CONCATENATE(AA5," ",HLOOKUP(Language!$C$3,Language!$E$1:$Z502,3,FALSE))</f>
        <v>RT434 GPS Grandmaster Clock</v>
      </c>
      <c r="AB4" s="209"/>
      <c r="AC4" s="209"/>
      <c r="AD4" s="210"/>
      <c r="AE4" s="226" t="str">
        <f>CONCATENATE(AE5," ",HLOOKUP(Language!$C$3,Language!$E$1:$Z502,74,FALSE))</f>
        <v>RT434 GPS Precision-Time Clock</v>
      </c>
      <c r="AF4" s="209"/>
      <c r="AG4" s="209"/>
      <c r="AH4" s="210"/>
    </row>
    <row r="5" spans="1:34" x14ac:dyDescent="0.2">
      <c r="A5" s="208"/>
      <c r="B5" s="211" t="s">
        <v>176</v>
      </c>
      <c r="C5" s="212" t="str">
        <f>HLOOKUP(Language!$C$3,Language!$E$1:$Z502,4,FALSE)</f>
        <v>RT434</v>
      </c>
      <c r="D5" s="212"/>
      <c r="E5" s="213"/>
      <c r="F5" s="212" t="s">
        <v>177</v>
      </c>
      <c r="G5" s="212" t="str">
        <f>HLOOKUP(Language!$C$3,Language!$E$1:$Z502,4,FALSE)</f>
        <v>RT434</v>
      </c>
      <c r="H5" s="212"/>
      <c r="I5" s="213"/>
      <c r="J5" s="212" t="s">
        <v>177</v>
      </c>
      <c r="K5" s="212" t="str">
        <f>HLOOKUP(Language!$C$3,Language!$E$1:$Z502,4,FALSE)</f>
        <v>RT434</v>
      </c>
      <c r="L5" s="212"/>
      <c r="M5" s="213"/>
      <c r="N5" s="212" t="s">
        <v>177</v>
      </c>
      <c r="O5" s="212" t="str">
        <f>HLOOKUP(Language!$C$3,Language!$E$1:$Z502,4,FALSE)</f>
        <v>RT434</v>
      </c>
      <c r="P5" s="212"/>
      <c r="Q5" s="213"/>
      <c r="R5" s="212" t="s">
        <v>177</v>
      </c>
      <c r="S5" s="212" t="str">
        <f>HLOOKUP(Language!$C$3,Language!$E$1:$Z502,4,FALSE)</f>
        <v>RT434</v>
      </c>
      <c r="T5" s="212"/>
      <c r="U5" s="213"/>
      <c r="V5" s="212" t="s">
        <v>177</v>
      </c>
      <c r="W5" s="212" t="str">
        <f>HLOOKUP(Language!$C$3,Language!$E$1:$Z502,4,FALSE)</f>
        <v>RT434</v>
      </c>
      <c r="X5" s="212"/>
      <c r="Y5" s="213"/>
      <c r="Z5" s="212" t="s">
        <v>177</v>
      </c>
      <c r="AA5" s="212" t="str">
        <f>HLOOKUP(Language!$C$3,Language!$E$1:$Z502,4,FALSE)</f>
        <v>RT434</v>
      </c>
      <c r="AB5" s="212"/>
      <c r="AC5" s="213"/>
      <c r="AD5" s="212" t="s">
        <v>177</v>
      </c>
      <c r="AE5" s="212" t="str">
        <f>HLOOKUP(Language!$C$3,Language!$E$1:$Z502,4,FALSE)</f>
        <v>RT434</v>
      </c>
      <c r="AF5" s="212"/>
      <c r="AG5" s="213"/>
      <c r="AH5" s="212" t="s">
        <v>177</v>
      </c>
    </row>
    <row r="6" spans="1:34" x14ac:dyDescent="0.2">
      <c r="A6" s="11">
        <v>1</v>
      </c>
      <c r="B6" s="6" t="str">
        <f>HLOOKUP(Language!$C$3,Language!$E$1:$Z572,5,FALSE)</f>
        <v>Power Supply 1</v>
      </c>
      <c r="C6" s="7" t="str">
        <f>HLOOKUP(Language!$C$3,Language!$E$1:$Z501,6,FALSE)</f>
        <v>100-250 Vdc / 110-240 Vac</v>
      </c>
      <c r="D6" s="7">
        <v>3</v>
      </c>
      <c r="E6" s="7"/>
      <c r="F6" s="214" t="s">
        <v>177</v>
      </c>
      <c r="G6" s="7" t="str">
        <f>HLOOKUP(Language!$C$3,Language!$E$1:$Z501,52,FALSE)</f>
        <v>24-48 Vdc</v>
      </c>
      <c r="H6" s="7">
        <v>1</v>
      </c>
      <c r="I6" s="7"/>
      <c r="J6" s="7" t="s">
        <v>177</v>
      </c>
      <c r="K6" s="7" t="str">
        <f>HLOOKUP(Language!$C$3,Language!$E$1:$Z501,52,FALSE)</f>
        <v>24-48 Vdc</v>
      </c>
      <c r="L6" s="7">
        <v>1</v>
      </c>
      <c r="M6" s="7"/>
      <c r="N6" s="7" t="s">
        <v>177</v>
      </c>
      <c r="O6" s="7" t="str">
        <f>HLOOKUP(Language!$C$3,Language!$E$1:$Z501,52,FALSE)</f>
        <v>24-48 Vdc</v>
      </c>
      <c r="P6" s="7">
        <v>1</v>
      </c>
      <c r="Q6" s="7"/>
      <c r="R6" s="7" t="s">
        <v>177</v>
      </c>
      <c r="S6" s="7" t="str">
        <f>HLOOKUP(Language!$C$3,Language!$E$1:$Z501,52,FALSE)</f>
        <v>24-48 Vdc</v>
      </c>
      <c r="T6" s="7">
        <v>1</v>
      </c>
      <c r="U6" s="7"/>
      <c r="V6" s="7" t="s">
        <v>177</v>
      </c>
      <c r="W6" s="7" t="str">
        <f>HLOOKUP(Language!$C$3,Language!$E$1:$Z501,52,FALSE)</f>
        <v>24-48 Vdc</v>
      </c>
      <c r="X6" s="7">
        <v>1</v>
      </c>
      <c r="Y6" s="7"/>
      <c r="Z6" s="7" t="s">
        <v>177</v>
      </c>
      <c r="AA6" s="7" t="str">
        <f>HLOOKUP(Language!$C$3,Language!$E$1:$Z501,52,FALSE)</f>
        <v>24-48 Vdc</v>
      </c>
      <c r="AB6" s="7">
        <v>1</v>
      </c>
      <c r="AC6" s="7"/>
      <c r="AD6" s="7" t="s">
        <v>177</v>
      </c>
      <c r="AE6" s="7" t="str">
        <f>HLOOKUP(Language!$C$3,Language!$E$1:$Z501,52,FALSE)</f>
        <v>24-48 Vdc</v>
      </c>
      <c r="AF6" s="7">
        <v>1</v>
      </c>
      <c r="AG6" s="7"/>
      <c r="AH6" s="7" t="s">
        <v>177</v>
      </c>
    </row>
    <row r="7" spans="1:34" x14ac:dyDescent="0.2">
      <c r="A7" s="12"/>
      <c r="C7" s="8"/>
      <c r="D7" s="8"/>
      <c r="E7" s="8"/>
      <c r="F7" s="215"/>
      <c r="G7" s="8" t="str">
        <f>HLOOKUP(Language!$C$3,Language!$E$1:$Z502,6,FALSE)</f>
        <v>100-250 Vdc / 110-240 Vac</v>
      </c>
      <c r="H7" s="8">
        <v>2</v>
      </c>
      <c r="I7" s="8"/>
      <c r="J7" s="8" t="s">
        <v>177</v>
      </c>
      <c r="K7" s="8" t="str">
        <f>HLOOKUP(Language!$C$3,Language!$E$1:$Z502,6,FALSE)</f>
        <v>100-250 Vdc / 110-240 Vac</v>
      </c>
      <c r="L7" s="8">
        <v>2</v>
      </c>
      <c r="M7" s="8"/>
      <c r="N7" s="8" t="s">
        <v>177</v>
      </c>
      <c r="O7" s="8" t="str">
        <f>HLOOKUP(Language!$C$3,Language!$E$1:$Z502,6,FALSE)</f>
        <v>100-250 Vdc / 110-240 Vac</v>
      </c>
      <c r="P7" s="8">
        <v>3</v>
      </c>
      <c r="Q7" s="8"/>
      <c r="R7" s="8" t="s">
        <v>177</v>
      </c>
      <c r="S7" s="8" t="str">
        <f>HLOOKUP(Language!$C$3,Language!$E$1:$Z502,6,FALSE)</f>
        <v>100-250 Vdc / 110-240 Vac</v>
      </c>
      <c r="T7" s="8">
        <v>3</v>
      </c>
      <c r="U7" s="8"/>
      <c r="V7" s="8" t="s">
        <v>177</v>
      </c>
      <c r="W7" s="8" t="str">
        <f>HLOOKUP(Language!$C$3,Language!$E$1:$Z502,6,FALSE)</f>
        <v>100-250 Vdc / 110-240 Vac</v>
      </c>
      <c r="X7" s="8">
        <v>3</v>
      </c>
      <c r="Y7" s="8"/>
      <c r="Z7" s="8" t="s">
        <v>177</v>
      </c>
      <c r="AA7" s="8" t="str">
        <f>HLOOKUP(Language!$C$3,Language!$E$1:$Z502,6,FALSE)</f>
        <v>100-250 Vdc / 110-240 Vac</v>
      </c>
      <c r="AB7" s="8">
        <v>3</v>
      </c>
      <c r="AC7" s="8"/>
      <c r="AD7" s="8" t="s">
        <v>177</v>
      </c>
      <c r="AE7" s="8" t="str">
        <f>HLOOKUP(Language!$C$3,Language!$E$1:$Z502,6,FALSE)</f>
        <v>100-250 Vdc / 110-240 Vac</v>
      </c>
      <c r="AF7" s="8">
        <v>3</v>
      </c>
      <c r="AG7" s="8"/>
      <c r="AH7" s="8" t="s">
        <v>177</v>
      </c>
    </row>
    <row r="8" spans="1:34" x14ac:dyDescent="0.2">
      <c r="A8" s="17"/>
      <c r="C8" s="86"/>
      <c r="D8" s="5"/>
      <c r="E8" s="5"/>
      <c r="G8" s="86"/>
      <c r="H8" s="5"/>
      <c r="I8" s="5"/>
      <c r="J8" s="86"/>
      <c r="K8" s="86"/>
      <c r="L8" s="5"/>
      <c r="M8" s="5"/>
      <c r="N8" s="86"/>
      <c r="O8" s="86"/>
      <c r="P8" s="5"/>
      <c r="Q8" s="5"/>
      <c r="R8" s="86"/>
      <c r="S8" s="86"/>
      <c r="T8" s="5"/>
      <c r="U8" s="5"/>
      <c r="V8" s="86"/>
      <c r="W8" s="86"/>
      <c r="X8" s="5"/>
      <c r="Y8" s="5"/>
      <c r="Z8" s="86"/>
      <c r="AA8" s="86"/>
      <c r="AB8" s="5"/>
      <c r="AC8" s="5"/>
      <c r="AD8" s="86"/>
      <c r="AE8" s="86"/>
      <c r="AF8" s="5"/>
      <c r="AG8" s="5"/>
      <c r="AH8" s="86"/>
    </row>
    <row r="9" spans="1:34" x14ac:dyDescent="0.2">
      <c r="A9" s="11">
        <v>2</v>
      </c>
      <c r="B9" s="4" t="str">
        <f>HLOOKUP(Language!$C$3,Language!$E$1:$Z567,7,FALSE)</f>
        <v>Power Supply 2</v>
      </c>
      <c r="C9" s="10" t="str">
        <f>HLOOKUP(Language!$C$3,Language!$E$1:$Z496,6,FALSE)</f>
        <v>100-250 Vdc / 110-240 Vac</v>
      </c>
      <c r="D9" s="10">
        <v>3</v>
      </c>
      <c r="E9" s="10"/>
      <c r="F9" s="217" t="s">
        <v>177</v>
      </c>
      <c r="G9" s="10" t="str">
        <f>HLOOKUP(Language!$C$3,Language!$E$1:$Z494,52,FALSE)</f>
        <v>24-48 Vdc</v>
      </c>
      <c r="H9" s="10">
        <v>1</v>
      </c>
      <c r="I9" s="10"/>
      <c r="J9" s="10" t="s">
        <v>177</v>
      </c>
      <c r="K9" s="10" t="str">
        <f>HLOOKUP(Language!$C$3,Language!$E$1:$Z494,52,FALSE)</f>
        <v>24-48 Vdc</v>
      </c>
      <c r="L9" s="10">
        <v>1</v>
      </c>
      <c r="M9" s="10"/>
      <c r="N9" s="10" t="s">
        <v>177</v>
      </c>
      <c r="O9" s="10" t="str">
        <f>HLOOKUP(Language!$C$3,Language!$E$1:$Z494,52,FALSE)</f>
        <v>24-48 Vdc</v>
      </c>
      <c r="P9" s="10">
        <v>1</v>
      </c>
      <c r="Q9" s="10"/>
      <c r="R9" s="10" t="s">
        <v>177</v>
      </c>
      <c r="S9" s="10" t="str">
        <f>HLOOKUP(Language!$C$3,Language!$E$1:$Z494,52,FALSE)</f>
        <v>24-48 Vdc</v>
      </c>
      <c r="T9" s="10">
        <v>1</v>
      </c>
      <c r="U9" s="10"/>
      <c r="V9" s="10" t="s">
        <v>177</v>
      </c>
      <c r="W9" s="10" t="str">
        <f>HLOOKUP(Language!$C$3,Language!$E$1:$Z494,52,FALSE)</f>
        <v>24-48 Vdc</v>
      </c>
      <c r="X9" s="10">
        <v>1</v>
      </c>
      <c r="Y9" s="10"/>
      <c r="Z9" s="10" t="s">
        <v>177</v>
      </c>
      <c r="AA9" s="10" t="str">
        <f>HLOOKUP(Language!$C$3,Language!$E$1:$Z494,52,FALSE)</f>
        <v>24-48 Vdc</v>
      </c>
      <c r="AB9" s="10">
        <v>1</v>
      </c>
      <c r="AC9" s="10"/>
      <c r="AD9" s="10" t="s">
        <v>177</v>
      </c>
      <c r="AE9" s="10" t="str">
        <f>HLOOKUP(Language!$C$3,Language!$E$1:$Z494,52,FALSE)</f>
        <v>24-48 Vdc</v>
      </c>
      <c r="AF9" s="10">
        <v>1</v>
      </c>
      <c r="AG9" s="10"/>
      <c r="AH9" s="10" t="s">
        <v>177</v>
      </c>
    </row>
    <row r="10" spans="1:34" x14ac:dyDescent="0.2">
      <c r="A10" s="12"/>
      <c r="B10" s="18"/>
      <c r="C10" s="41" t="str">
        <f>HLOOKUP(Language!$C$3,Language!$E$1:$Z495,8,FALSE)</f>
        <v>Not installed</v>
      </c>
      <c r="D10" s="5" t="s">
        <v>9</v>
      </c>
      <c r="E10" s="5"/>
      <c r="F10" s="216" t="s">
        <v>178</v>
      </c>
      <c r="G10" s="41" t="str">
        <f>HLOOKUP(Language!$C$3,Language!$E$1:$Z495,6,FALSE)</f>
        <v>100-250 Vdc / 110-240 Vac</v>
      </c>
      <c r="H10" s="5">
        <v>3</v>
      </c>
      <c r="I10" s="5"/>
      <c r="J10" s="41" t="s">
        <v>177</v>
      </c>
      <c r="K10" s="41" t="str">
        <f>HLOOKUP(Language!$C$3,Language!$E$1:$Z495,6,FALSE)</f>
        <v>100-250 Vdc / 110-240 Vac</v>
      </c>
      <c r="L10" s="5">
        <v>3</v>
      </c>
      <c r="M10" s="5"/>
      <c r="N10" s="41" t="s">
        <v>177</v>
      </c>
      <c r="O10" s="41" t="str">
        <f>HLOOKUP(Language!$C$3,Language!$E$1:$Z495,6,FALSE)</f>
        <v>100-250 Vdc / 110-240 Vac</v>
      </c>
      <c r="P10" s="5">
        <v>3</v>
      </c>
      <c r="Q10" s="5"/>
      <c r="R10" s="41" t="s">
        <v>177</v>
      </c>
      <c r="S10" s="41" t="str">
        <f>HLOOKUP(Language!$C$3,Language!$E$1:$Z495,6,FALSE)</f>
        <v>100-250 Vdc / 110-240 Vac</v>
      </c>
      <c r="T10" s="5">
        <v>3</v>
      </c>
      <c r="U10" s="5"/>
      <c r="V10" s="41" t="s">
        <v>177</v>
      </c>
      <c r="W10" s="41" t="str">
        <f>HLOOKUP(Language!$C$3,Language!$E$1:$Z495,6,FALSE)</f>
        <v>100-250 Vdc / 110-240 Vac</v>
      </c>
      <c r="X10" s="5">
        <v>3</v>
      </c>
      <c r="Y10" s="5"/>
      <c r="Z10" s="41" t="s">
        <v>177</v>
      </c>
      <c r="AA10" s="41" t="str">
        <f>HLOOKUP(Language!$C$3,Language!$E$1:$Z495,6,FALSE)</f>
        <v>100-250 Vdc / 110-240 Vac</v>
      </c>
      <c r="AB10" s="5">
        <v>3</v>
      </c>
      <c r="AC10" s="5"/>
      <c r="AD10" s="41" t="s">
        <v>177</v>
      </c>
      <c r="AE10" s="41" t="str">
        <f>HLOOKUP(Language!$C$3,Language!$E$1:$Z495,6,FALSE)</f>
        <v>100-250 Vdc / 110-240 Vac</v>
      </c>
      <c r="AF10" s="5">
        <v>3</v>
      </c>
      <c r="AG10" s="5"/>
      <c r="AH10" s="41" t="s">
        <v>177</v>
      </c>
    </row>
    <row r="11" spans="1:34" x14ac:dyDescent="0.2">
      <c r="A11" s="12"/>
      <c r="B11" s="18"/>
      <c r="C11" s="41"/>
      <c r="D11" s="5"/>
      <c r="E11" s="5"/>
      <c r="G11" s="41" t="str">
        <f>HLOOKUP(Language!$C$3,Language!$E$1:$Z495,8,FALSE)</f>
        <v>Not installed</v>
      </c>
      <c r="H11" s="5" t="s">
        <v>9</v>
      </c>
      <c r="I11" s="5"/>
      <c r="J11" s="41" t="s">
        <v>177</v>
      </c>
      <c r="K11" s="41" t="str">
        <f>HLOOKUP(Language!$C$3,Language!$E$1:$Z495,8,FALSE)</f>
        <v>Not installed</v>
      </c>
      <c r="L11" s="5" t="s">
        <v>9</v>
      </c>
      <c r="M11" s="5"/>
      <c r="N11" s="41" t="s">
        <v>177</v>
      </c>
      <c r="O11" s="41" t="str">
        <f>HLOOKUP(Language!$C$3,Language!$E$1:$Z495,8,FALSE)</f>
        <v>Not installed</v>
      </c>
      <c r="P11" s="5" t="s">
        <v>9</v>
      </c>
      <c r="Q11" s="5"/>
      <c r="R11" s="41" t="s">
        <v>177</v>
      </c>
      <c r="S11" s="41" t="str">
        <f>HLOOKUP(Language!$C$3,Language!$E$1:$Z495,8,FALSE)</f>
        <v>Not installed</v>
      </c>
      <c r="T11" s="5" t="s">
        <v>9</v>
      </c>
      <c r="U11" s="5"/>
      <c r="V11" s="41" t="s">
        <v>177</v>
      </c>
      <c r="W11" s="41" t="str">
        <f>HLOOKUP(Language!$C$3,Language!$E$1:$Z495,8,FALSE)</f>
        <v>Not installed</v>
      </c>
      <c r="X11" s="5" t="s">
        <v>9</v>
      </c>
      <c r="Y11" s="5"/>
      <c r="Z11" s="41" t="s">
        <v>177</v>
      </c>
      <c r="AA11" s="41" t="str">
        <f>HLOOKUP(Language!$C$3,Language!$E$1:$Z495,8,FALSE)</f>
        <v>Not installed</v>
      </c>
      <c r="AB11" s="5" t="s">
        <v>9</v>
      </c>
      <c r="AC11" s="5"/>
      <c r="AD11" s="41" t="s">
        <v>177</v>
      </c>
      <c r="AE11" s="41" t="str">
        <f>HLOOKUP(Language!$C$3,Language!$E$1:$Z495,8,FALSE)</f>
        <v>Not installed</v>
      </c>
      <c r="AF11" s="5" t="s">
        <v>9</v>
      </c>
      <c r="AG11" s="5"/>
      <c r="AH11" s="41" t="s">
        <v>177</v>
      </c>
    </row>
    <row r="12" spans="1:34" x14ac:dyDescent="0.2">
      <c r="A12" s="17"/>
      <c r="C12" s="86"/>
      <c r="D12" s="5"/>
      <c r="E12" s="5"/>
      <c r="G12" s="86"/>
      <c r="H12" s="5"/>
      <c r="I12" s="5"/>
      <c r="J12" s="86"/>
      <c r="K12" s="86"/>
      <c r="L12" s="5"/>
      <c r="M12" s="5"/>
      <c r="N12" s="86"/>
      <c r="O12" s="86"/>
      <c r="P12" s="5"/>
      <c r="Q12" s="5"/>
      <c r="R12" s="86"/>
      <c r="S12" s="86"/>
      <c r="T12" s="5"/>
      <c r="U12" s="5"/>
      <c r="V12" s="86"/>
      <c r="W12" s="86"/>
      <c r="X12" s="5"/>
      <c r="Y12" s="5"/>
      <c r="Z12" s="86"/>
      <c r="AA12" s="86"/>
      <c r="AB12" s="5"/>
      <c r="AC12" s="5"/>
      <c r="AD12" s="86"/>
      <c r="AE12" s="86"/>
      <c r="AF12" s="5"/>
      <c r="AG12" s="5"/>
      <c r="AH12" s="86"/>
    </row>
    <row r="13" spans="1:34" x14ac:dyDescent="0.2">
      <c r="A13" s="11">
        <v>3</v>
      </c>
      <c r="B13" s="4" t="str">
        <f>HLOOKUP(Language!$C$3,Language!$E$1:$Z559,9,FALSE)</f>
        <v>Ethernet Interface 1 and 2</v>
      </c>
      <c r="C13" s="10" t="str">
        <f>HLOOKUP(Language!$C$3,Language!$E$1:$Z488,10,FALSE)</f>
        <v>RJ45 copper 100BASE-TX for configuration only</v>
      </c>
      <c r="D13" s="10" t="s">
        <v>2</v>
      </c>
      <c r="E13" s="10"/>
      <c r="F13" s="217" t="s">
        <v>177</v>
      </c>
      <c r="G13" s="10" t="str">
        <f>HLOOKUP(Language!$C$3,Language!$E$1:$Z488,10,FALSE)</f>
        <v>RJ45 copper 100BASE-TX for configuration only</v>
      </c>
      <c r="H13" s="10" t="s">
        <v>2</v>
      </c>
      <c r="I13" s="10"/>
      <c r="J13" s="10" t="s">
        <v>177</v>
      </c>
      <c r="K13" s="10" t="str">
        <f>HLOOKUP(Language!$C$3,Language!$E$1:$Z488,10,FALSE)</f>
        <v>RJ45 copper 100BASE-TX for configuration only</v>
      </c>
      <c r="L13" s="10" t="s">
        <v>2</v>
      </c>
      <c r="M13" s="10"/>
      <c r="N13" s="10" t="s">
        <v>177</v>
      </c>
      <c r="O13" s="10" t="str">
        <f>HLOOKUP(Language!$C$3,Language!$E$1:$Z488,10,FALSE)</f>
        <v>RJ45 copper 100BASE-TX for configuration only</v>
      </c>
      <c r="P13" s="10" t="s">
        <v>2</v>
      </c>
      <c r="Q13" s="10"/>
      <c r="R13" s="10" t="s">
        <v>177</v>
      </c>
      <c r="S13" s="10" t="str">
        <f>HLOOKUP(Language!$C$3,Language!$E$1:$Z488,10,FALSE)</f>
        <v>RJ45 copper 100BASE-TX for configuration only</v>
      </c>
      <c r="T13" s="10" t="s">
        <v>2</v>
      </c>
      <c r="U13" s="10"/>
      <c r="V13" s="10" t="s">
        <v>177</v>
      </c>
      <c r="W13" s="10" t="str">
        <f>HLOOKUP(Language!$C$3,Language!$E$1:$Z488,10,FALSE)</f>
        <v>RJ45 copper 100BASE-TX for configuration only</v>
      </c>
      <c r="X13" s="10" t="s">
        <v>2</v>
      </c>
      <c r="Y13" s="10"/>
      <c r="Z13" s="10" t="s">
        <v>177</v>
      </c>
      <c r="AA13" s="10" t="str">
        <f>HLOOKUP(Language!$C$3,Language!$E$1:$Z488,10,FALSE)</f>
        <v>RJ45 copper 100BASE-TX for configuration only</v>
      </c>
      <c r="AB13" s="10" t="s">
        <v>2</v>
      </c>
      <c r="AC13" s="10"/>
      <c r="AD13" s="10" t="s">
        <v>177</v>
      </c>
      <c r="AE13" s="10" t="str">
        <f>HLOOKUP(Language!$C$3,Language!$E$1:$Z488,10,FALSE)</f>
        <v>RJ45 copper 100BASE-TX for configuration only</v>
      </c>
      <c r="AF13" s="10" t="s">
        <v>2</v>
      </c>
      <c r="AG13" s="10"/>
      <c r="AH13" s="10" t="s">
        <v>177</v>
      </c>
    </row>
    <row r="14" spans="1:34" x14ac:dyDescent="0.2">
      <c r="A14" s="12"/>
      <c r="B14" s="18"/>
      <c r="C14" s="41" t="str">
        <f>HLOOKUP(Language!$C$3,Language!$E$1:$Z488,11,FALSE)</f>
        <v>RJ45 copper 100BASE-TX for NTP server and configuration</v>
      </c>
      <c r="D14" s="5" t="s">
        <v>22</v>
      </c>
      <c r="E14" s="5"/>
      <c r="F14" s="216" t="s">
        <v>177</v>
      </c>
      <c r="G14" s="41" t="str">
        <f>HLOOKUP(Language!$C$3,Language!$E$1:$Z488,11,FALSE)</f>
        <v>RJ45 copper 100BASE-TX for NTP server and configuration</v>
      </c>
      <c r="H14" s="5" t="s">
        <v>22</v>
      </c>
      <c r="I14" s="5"/>
      <c r="J14" s="41" t="s">
        <v>177</v>
      </c>
      <c r="K14" s="41" t="str">
        <f>HLOOKUP(Language!$C$3,Language!$E$1:$Z488,11,FALSE)</f>
        <v>RJ45 copper 100BASE-TX for NTP server and configuration</v>
      </c>
      <c r="L14" s="5" t="s">
        <v>22</v>
      </c>
      <c r="M14" s="5"/>
      <c r="N14" s="41" t="s">
        <v>177</v>
      </c>
      <c r="O14" s="41" t="str">
        <f>HLOOKUP(Language!$C$3,Language!$E$1:$Z488,11,FALSE)</f>
        <v>RJ45 copper 100BASE-TX for NTP server and configuration</v>
      </c>
      <c r="P14" s="5" t="s">
        <v>22</v>
      </c>
      <c r="Q14" s="5"/>
      <c r="R14" s="41" t="s">
        <v>177</v>
      </c>
      <c r="S14" s="41" t="str">
        <f>HLOOKUP(Language!$C$3,Language!$E$1:$Z488,11,FALSE)</f>
        <v>RJ45 copper 100BASE-TX for NTP server and configuration</v>
      </c>
      <c r="T14" s="5" t="s">
        <v>22</v>
      </c>
      <c r="U14" s="5"/>
      <c r="V14" s="41" t="s">
        <v>177</v>
      </c>
      <c r="W14" s="41" t="str">
        <f>HLOOKUP(Language!$C$3,Language!$E$1:$Z488,11,FALSE)</f>
        <v>RJ45 copper 100BASE-TX for NTP server and configuration</v>
      </c>
      <c r="X14" s="5" t="s">
        <v>22</v>
      </c>
      <c r="Y14" s="5"/>
      <c r="Z14" s="41" t="s">
        <v>177</v>
      </c>
      <c r="AA14" s="41" t="str">
        <f>HLOOKUP(Language!$C$3,Language!$E$1:$Z488,11,FALSE)</f>
        <v>RJ45 copper 100BASE-TX for NTP server and configuration</v>
      </c>
      <c r="AB14" s="5" t="s">
        <v>22</v>
      </c>
      <c r="AC14" s="5"/>
      <c r="AD14" s="41" t="s">
        <v>177</v>
      </c>
      <c r="AE14" s="41" t="str">
        <f>HLOOKUP(Language!$C$3,Language!$E$1:$Z488,11,FALSE)</f>
        <v>RJ45 copper 100BASE-TX for NTP server and configuration</v>
      </c>
      <c r="AF14" s="5" t="s">
        <v>22</v>
      </c>
      <c r="AG14" s="5"/>
      <c r="AH14" s="41" t="s">
        <v>177</v>
      </c>
    </row>
    <row r="15" spans="1:34" x14ac:dyDescent="0.2">
      <c r="A15" s="12"/>
      <c r="B15" s="18"/>
      <c r="C15" s="41" t="str">
        <f>HLOOKUP(Language!$C$3,Language!$E$1:$Z488,12,FALSE)</f>
        <v>RJ45 copper 100BASE-TX for PTP (IEEE 1588) server, NTP server and configuration</v>
      </c>
      <c r="D15" s="5" t="s">
        <v>14</v>
      </c>
      <c r="E15" s="5"/>
      <c r="F15" s="216" t="s">
        <v>177</v>
      </c>
      <c r="G15" s="41" t="str">
        <f>HLOOKUP(Language!$C$3,Language!$E$1:$Z488,12,FALSE)</f>
        <v>RJ45 copper 100BASE-TX for PTP (IEEE 1588) server, NTP server and configuration</v>
      </c>
      <c r="H15" s="5" t="s">
        <v>14</v>
      </c>
      <c r="I15" s="5"/>
      <c r="J15" s="41" t="s">
        <v>177</v>
      </c>
      <c r="K15" s="41" t="str">
        <f>HLOOKUP(Language!$C$3,Language!$E$1:$Z488,12,FALSE)</f>
        <v>RJ45 copper 100BASE-TX for PTP (IEEE 1588) server, NTP server and configuration</v>
      </c>
      <c r="L15" s="5" t="s">
        <v>14</v>
      </c>
      <c r="M15" s="5"/>
      <c r="N15" s="41" t="s">
        <v>177</v>
      </c>
      <c r="O15" s="41" t="str">
        <f>HLOOKUP(Language!$C$3,Language!$E$1:$Z488,12,FALSE)</f>
        <v>RJ45 copper 100BASE-TX for PTP (IEEE 1588) server, NTP server and configuration</v>
      </c>
      <c r="P15" s="5" t="s">
        <v>14</v>
      </c>
      <c r="Q15" s="5"/>
      <c r="R15" s="41" t="s">
        <v>177</v>
      </c>
      <c r="S15" s="41" t="str">
        <f>HLOOKUP(Language!$C$3,Language!$E$1:$Z488,12,FALSE)</f>
        <v>RJ45 copper 100BASE-TX for PTP (IEEE 1588) server, NTP server and configuration</v>
      </c>
      <c r="T15" s="5" t="s">
        <v>14</v>
      </c>
      <c r="U15" s="5"/>
      <c r="V15" s="41" t="s">
        <v>177</v>
      </c>
      <c r="W15" s="41" t="str">
        <f>HLOOKUP(Language!$C$3,Language!$E$1:$Z488,12,FALSE)</f>
        <v>RJ45 copper 100BASE-TX for PTP (IEEE 1588) server, NTP server and configuration</v>
      </c>
      <c r="X15" s="5" t="s">
        <v>14</v>
      </c>
      <c r="Y15" s="5"/>
      <c r="Z15" s="41" t="s">
        <v>177</v>
      </c>
      <c r="AA15" s="41" t="str">
        <f>HLOOKUP(Language!$C$3,Language!$E$1:$Z488,12,FALSE)</f>
        <v>RJ45 copper 100BASE-TX for PTP (IEEE 1588) server, NTP server and configuration</v>
      </c>
      <c r="AB15" s="5" t="s">
        <v>14</v>
      </c>
      <c r="AC15" s="5"/>
      <c r="AD15" s="41" t="s">
        <v>177</v>
      </c>
      <c r="AE15" s="41" t="str">
        <f>HLOOKUP(Language!$C$3,Language!$E$1:$Z488,12,FALSE)</f>
        <v>RJ45 copper 100BASE-TX for PTP (IEEE 1588) server, NTP server and configuration</v>
      </c>
      <c r="AF15" s="5" t="s">
        <v>14</v>
      </c>
      <c r="AG15" s="5"/>
      <c r="AH15" s="41" t="s">
        <v>177</v>
      </c>
    </row>
    <row r="16" spans="1:34" x14ac:dyDescent="0.2">
      <c r="A16" s="17"/>
      <c r="C16" s="86"/>
      <c r="D16" s="5"/>
      <c r="E16" s="5"/>
      <c r="G16" s="86"/>
      <c r="H16" s="5"/>
      <c r="I16" s="5"/>
      <c r="J16" s="86"/>
      <c r="K16" s="86"/>
      <c r="L16" s="5"/>
      <c r="M16" s="5"/>
      <c r="N16" s="86"/>
      <c r="O16" s="86"/>
      <c r="P16" s="5"/>
      <c r="Q16" s="5"/>
      <c r="R16" s="86"/>
      <c r="S16" s="86"/>
      <c r="T16" s="5"/>
      <c r="U16" s="5"/>
      <c r="V16" s="86"/>
      <c r="W16" s="86"/>
      <c r="X16" s="5"/>
      <c r="Y16" s="5"/>
      <c r="Z16" s="86"/>
      <c r="AA16" s="86"/>
      <c r="AB16" s="5"/>
      <c r="AC16" s="5"/>
      <c r="AD16" s="86"/>
      <c r="AE16" s="86"/>
      <c r="AF16" s="5"/>
      <c r="AG16" s="5"/>
      <c r="AH16" s="86"/>
    </row>
    <row r="17" spans="1:34" x14ac:dyDescent="0.2">
      <c r="A17" s="11">
        <v>4</v>
      </c>
      <c r="B17" s="4" t="str">
        <f>HLOOKUP(Language!$C$3,Language!$E$1:$Z553,13,FALSE)</f>
        <v>Ethernet Interface 3 and 4</v>
      </c>
      <c r="C17" s="10" t="str">
        <f>HLOOKUP(Language!$C$3,Language!$E$1:$Z496,10,FALSE)</f>
        <v>RJ45 copper 100BASE-TX for configuration only</v>
      </c>
      <c r="D17" s="10" t="s">
        <v>2</v>
      </c>
      <c r="E17" s="10"/>
      <c r="F17" s="217" t="s">
        <v>177</v>
      </c>
      <c r="G17" s="10" t="str">
        <f>HLOOKUP(Language!$C$3,Language!$E$1:$Z496,10,FALSE)</f>
        <v>RJ45 copper 100BASE-TX for configuration only</v>
      </c>
      <c r="H17" s="10" t="s">
        <v>2</v>
      </c>
      <c r="I17" s="10"/>
      <c r="J17" s="10" t="s">
        <v>177</v>
      </c>
      <c r="K17" s="10" t="str">
        <f>HLOOKUP(Language!$C$3,Language!$E$1:$Z496,10,FALSE)</f>
        <v>RJ45 copper 100BASE-TX for configuration only</v>
      </c>
      <c r="L17" s="10" t="s">
        <v>2</v>
      </c>
      <c r="M17" s="10"/>
      <c r="N17" s="10" t="s">
        <v>177</v>
      </c>
      <c r="O17" s="10" t="str">
        <f>HLOOKUP(Language!$C$3,Language!$E$1:$Z496,10,FALSE)</f>
        <v>RJ45 copper 100BASE-TX for configuration only</v>
      </c>
      <c r="P17" s="10" t="s">
        <v>2</v>
      </c>
      <c r="Q17" s="10"/>
      <c r="R17" s="10" t="s">
        <v>177</v>
      </c>
      <c r="S17" s="10" t="str">
        <f>HLOOKUP(Language!$C$3,Language!$E$1:$Z496,10,FALSE)</f>
        <v>RJ45 copper 100BASE-TX for configuration only</v>
      </c>
      <c r="T17" s="10" t="s">
        <v>2</v>
      </c>
      <c r="U17" s="10"/>
      <c r="V17" s="10" t="s">
        <v>177</v>
      </c>
      <c r="W17" s="10" t="str">
        <f>HLOOKUP(Language!$C$3,Language!$E$1:$Z496,10,FALSE)</f>
        <v>RJ45 copper 100BASE-TX for configuration only</v>
      </c>
      <c r="X17" s="10" t="s">
        <v>2</v>
      </c>
      <c r="Y17" s="10"/>
      <c r="Z17" s="10" t="s">
        <v>177</v>
      </c>
      <c r="AA17" s="10" t="str">
        <f>HLOOKUP(Language!$C$3,Language!$E$1:$Z496,10,FALSE)</f>
        <v>RJ45 copper 100BASE-TX for configuration only</v>
      </c>
      <c r="AB17" s="10" t="s">
        <v>2</v>
      </c>
      <c r="AC17" s="10"/>
      <c r="AD17" s="10" t="s">
        <v>177</v>
      </c>
      <c r="AE17" s="10" t="str">
        <f>HLOOKUP(Language!$C$3,Language!$E$1:$Z496,10,FALSE)</f>
        <v>RJ45 copper 100BASE-TX for configuration only</v>
      </c>
      <c r="AF17" s="10" t="s">
        <v>2</v>
      </c>
      <c r="AG17" s="10"/>
      <c r="AH17" s="10" t="s">
        <v>177</v>
      </c>
    </row>
    <row r="18" spans="1:34" x14ac:dyDescent="0.2">
      <c r="A18" s="12"/>
      <c r="C18" s="41" t="str">
        <f>HLOOKUP(Language!$C$3,Language!$E$1:$Z496,11,FALSE)</f>
        <v>RJ45 copper 100BASE-TX for NTP server and configuration</v>
      </c>
      <c r="D18" s="5" t="s">
        <v>22</v>
      </c>
      <c r="E18" s="5"/>
      <c r="F18" s="216" t="s">
        <v>177</v>
      </c>
      <c r="G18" s="41" t="str">
        <f>HLOOKUP(Language!$C$3,Language!$E$1:$Z496,11,FALSE)</f>
        <v>RJ45 copper 100BASE-TX for NTP server and configuration</v>
      </c>
      <c r="H18" s="5" t="s">
        <v>22</v>
      </c>
      <c r="I18" s="5"/>
      <c r="J18" s="41" t="s">
        <v>177</v>
      </c>
      <c r="K18" s="41" t="str">
        <f>HLOOKUP(Language!$C$3,Language!$E$1:$Z496,11,FALSE)</f>
        <v>RJ45 copper 100BASE-TX for NTP server and configuration</v>
      </c>
      <c r="L18" s="5" t="s">
        <v>22</v>
      </c>
      <c r="M18" s="5"/>
      <c r="N18" s="41" t="s">
        <v>177</v>
      </c>
      <c r="O18" s="41" t="str">
        <f>HLOOKUP(Language!$C$3,Language!$E$1:$Z496,11,FALSE)</f>
        <v>RJ45 copper 100BASE-TX for NTP server and configuration</v>
      </c>
      <c r="P18" s="5" t="s">
        <v>22</v>
      </c>
      <c r="Q18" s="5"/>
      <c r="R18" s="41" t="s">
        <v>177</v>
      </c>
      <c r="S18" s="41" t="str">
        <f>HLOOKUP(Language!$C$3,Language!$E$1:$Z496,11,FALSE)</f>
        <v>RJ45 copper 100BASE-TX for NTP server and configuration</v>
      </c>
      <c r="T18" s="5" t="s">
        <v>22</v>
      </c>
      <c r="U18" s="5"/>
      <c r="V18" s="41" t="s">
        <v>177</v>
      </c>
      <c r="W18" s="41" t="str">
        <f>HLOOKUP(Language!$C$3,Language!$E$1:$Z496,11,FALSE)</f>
        <v>RJ45 copper 100BASE-TX for NTP server and configuration</v>
      </c>
      <c r="X18" s="5" t="s">
        <v>22</v>
      </c>
      <c r="Y18" s="5"/>
      <c r="Z18" s="41" t="s">
        <v>177</v>
      </c>
      <c r="AA18" s="41" t="str">
        <f>HLOOKUP(Language!$C$3,Language!$E$1:$Z496,11,FALSE)</f>
        <v>RJ45 copper 100BASE-TX for NTP server and configuration</v>
      </c>
      <c r="AB18" s="5" t="s">
        <v>22</v>
      </c>
      <c r="AC18" s="5"/>
      <c r="AD18" s="41" t="s">
        <v>177</v>
      </c>
      <c r="AE18" s="41" t="str">
        <f>HLOOKUP(Language!$C$3,Language!$E$1:$Z496,11,FALSE)</f>
        <v>RJ45 copper 100BASE-TX for NTP server and configuration</v>
      </c>
      <c r="AF18" s="5" t="s">
        <v>22</v>
      </c>
      <c r="AG18" s="5"/>
      <c r="AH18" s="41" t="s">
        <v>177</v>
      </c>
    </row>
    <row r="19" spans="1:34" x14ac:dyDescent="0.2">
      <c r="A19" s="12"/>
      <c r="C19" s="41" t="str">
        <f>HLOOKUP(Language!$C$3,Language!$E$1:$Z496,12,FALSE)</f>
        <v>RJ45 copper 100BASE-TX for PTP (IEEE 1588) server, NTP server and configuration</v>
      </c>
      <c r="D19" s="5" t="s">
        <v>14</v>
      </c>
      <c r="E19" s="5"/>
      <c r="F19" s="216" t="s">
        <v>177</v>
      </c>
      <c r="G19" s="41" t="str">
        <f>HLOOKUP(Language!$C$3,Language!$E$1:$Z496,12,FALSE)</f>
        <v>RJ45 copper 100BASE-TX for PTP (IEEE 1588) server, NTP server and configuration</v>
      </c>
      <c r="H19" s="5" t="s">
        <v>14</v>
      </c>
      <c r="I19" s="5"/>
      <c r="J19" s="41" t="s">
        <v>177</v>
      </c>
      <c r="K19" s="41" t="str">
        <f>HLOOKUP(Language!$C$3,Language!$E$1:$Z496,12,FALSE)</f>
        <v>RJ45 copper 100BASE-TX for PTP (IEEE 1588) server, NTP server and configuration</v>
      </c>
      <c r="L19" s="5" t="s">
        <v>14</v>
      </c>
      <c r="M19" s="5"/>
      <c r="N19" s="41" t="s">
        <v>177</v>
      </c>
      <c r="O19" s="41" t="str">
        <f>HLOOKUP(Language!$C$3,Language!$E$1:$Z496,12,FALSE)</f>
        <v>RJ45 copper 100BASE-TX for PTP (IEEE 1588) server, NTP server and configuration</v>
      </c>
      <c r="P19" s="5" t="s">
        <v>14</v>
      </c>
      <c r="Q19" s="5"/>
      <c r="R19" s="41" t="s">
        <v>177</v>
      </c>
      <c r="S19" s="41" t="str">
        <f>HLOOKUP(Language!$C$3,Language!$E$1:$Z496,12,FALSE)</f>
        <v>RJ45 copper 100BASE-TX for PTP (IEEE 1588) server, NTP server and configuration</v>
      </c>
      <c r="T19" s="5" t="s">
        <v>14</v>
      </c>
      <c r="U19" s="5"/>
      <c r="V19" s="41" t="s">
        <v>177</v>
      </c>
      <c r="W19" s="41" t="str">
        <f>HLOOKUP(Language!$C$3,Language!$E$1:$Z496,12,FALSE)</f>
        <v>RJ45 copper 100BASE-TX for PTP (IEEE 1588) server, NTP server and configuration</v>
      </c>
      <c r="X19" s="5" t="s">
        <v>14</v>
      </c>
      <c r="Y19" s="5"/>
      <c r="Z19" s="41" t="s">
        <v>177</v>
      </c>
      <c r="AA19" s="41" t="str">
        <f>HLOOKUP(Language!$C$3,Language!$E$1:$Z496,12,FALSE)</f>
        <v>RJ45 copper 100BASE-TX for PTP (IEEE 1588) server, NTP server and configuration</v>
      </c>
      <c r="AB19" s="5" t="s">
        <v>14</v>
      </c>
      <c r="AC19" s="5"/>
      <c r="AD19" s="41" t="s">
        <v>177</v>
      </c>
      <c r="AE19" s="41" t="str">
        <f>HLOOKUP(Language!$C$3,Language!$E$1:$Z496,12,FALSE)</f>
        <v>RJ45 copper 100BASE-TX for PTP (IEEE 1588) server, NTP server and configuration</v>
      </c>
      <c r="AF19" s="5" t="s">
        <v>14</v>
      </c>
      <c r="AG19" s="5"/>
      <c r="AH19" s="41" t="s">
        <v>177</v>
      </c>
    </row>
    <row r="20" spans="1:34" x14ac:dyDescent="0.2">
      <c r="A20" s="17"/>
      <c r="C20" s="86"/>
      <c r="D20" s="5"/>
      <c r="E20" s="5"/>
      <c r="G20" s="86"/>
      <c r="H20" s="5"/>
      <c r="I20" s="5"/>
      <c r="J20" s="86"/>
      <c r="K20" s="86"/>
      <c r="L20" s="5"/>
      <c r="M20" s="5"/>
      <c r="N20" s="86"/>
      <c r="O20" s="86"/>
      <c r="P20" s="5"/>
      <c r="Q20" s="5"/>
      <c r="R20" s="86"/>
      <c r="S20" s="86"/>
      <c r="T20" s="5"/>
      <c r="U20" s="5"/>
      <c r="V20" s="86"/>
      <c r="W20" s="86"/>
      <c r="X20" s="5"/>
      <c r="Y20" s="5"/>
      <c r="Z20" s="86"/>
      <c r="AA20" s="86"/>
      <c r="AB20" s="5"/>
      <c r="AC20" s="5"/>
      <c r="AD20" s="86"/>
      <c r="AE20" s="86"/>
      <c r="AF20" s="5"/>
      <c r="AG20" s="5"/>
      <c r="AH20" s="86"/>
    </row>
    <row r="21" spans="1:34" x14ac:dyDescent="0.2">
      <c r="A21" s="11">
        <v>5</v>
      </c>
      <c r="B21" s="4" t="str">
        <f>HLOOKUP(Language!$C$3,Language!$E$1:$Z547,16,FALSE)</f>
        <v>Customization / Regionalisation</v>
      </c>
      <c r="C21" s="11" t="str">
        <f>HLOOKUP(Language!$C$3,Language!$E$1:$Z490,17,FALSE)</f>
        <v>Default</v>
      </c>
      <c r="D21" s="11" t="s">
        <v>0</v>
      </c>
      <c r="E21" s="11"/>
      <c r="F21" s="118" t="s">
        <v>177</v>
      </c>
      <c r="G21" s="11" t="str">
        <f>HLOOKUP(Language!$C$3,Language!$E$1:$Z490,17,FALSE)</f>
        <v>Default</v>
      </c>
      <c r="H21" s="11" t="s">
        <v>0</v>
      </c>
      <c r="I21" s="11"/>
      <c r="J21" s="11" t="s">
        <v>177</v>
      </c>
      <c r="K21" s="11" t="str">
        <f>HLOOKUP(Language!$C$3,Language!$E$1:$Z490,17,FALSE)</f>
        <v>Default</v>
      </c>
      <c r="L21" s="11" t="s">
        <v>0</v>
      </c>
      <c r="M21" s="11"/>
      <c r="N21" s="11" t="s">
        <v>177</v>
      </c>
      <c r="O21" s="11" t="str">
        <f>HLOOKUP(Language!$C$3,Language!$E$1:$Z490,17,FALSE)</f>
        <v>Default</v>
      </c>
      <c r="P21" s="11" t="s">
        <v>0</v>
      </c>
      <c r="Q21" s="11"/>
      <c r="R21" s="11" t="s">
        <v>177</v>
      </c>
      <c r="S21" s="11" t="str">
        <f>HLOOKUP(Language!$C$3,Language!$E$1:$Z490,61,FALSE)</f>
        <v>GE branding</v>
      </c>
      <c r="T21" s="11" t="s">
        <v>2</v>
      </c>
      <c r="U21" s="11"/>
      <c r="V21" s="11" t="s">
        <v>177</v>
      </c>
      <c r="W21" s="11" t="str">
        <f>HLOOKUP(Language!$C$3,Language!$E$1:$Z490,61,FALSE)</f>
        <v>GE branding</v>
      </c>
      <c r="X21" s="11" t="s">
        <v>2</v>
      </c>
      <c r="Y21" s="11"/>
      <c r="Z21" s="11" t="s">
        <v>177</v>
      </c>
      <c r="AA21" s="11" t="str">
        <f>HLOOKUP(Language!$C$3,Language!$E$1:$Z490,61,FALSE)</f>
        <v>GE branding</v>
      </c>
      <c r="AB21" s="11" t="s">
        <v>2</v>
      </c>
      <c r="AC21" s="11"/>
      <c r="AD21" s="11" t="s">
        <v>177</v>
      </c>
      <c r="AE21" s="11" t="str">
        <f>HLOOKUP(Language!$C$3,Language!$E$1:$Z490,61,FALSE)</f>
        <v>GE branding</v>
      </c>
      <c r="AF21" s="11" t="s">
        <v>2</v>
      </c>
      <c r="AG21" s="11"/>
      <c r="AH21" s="11" t="s">
        <v>177</v>
      </c>
    </row>
    <row r="22" spans="1:34" x14ac:dyDescent="0.2">
      <c r="A22" s="12"/>
      <c r="B22" s="18"/>
      <c r="C22" s="12" t="str">
        <f>HLOOKUP(Language!$C$3,Language!$E$1:$Z490,18,FALSE)</f>
        <v>Reason branding</v>
      </c>
      <c r="D22" s="14" t="s">
        <v>1</v>
      </c>
      <c r="E22" s="14"/>
      <c r="F22" s="218" t="s">
        <v>177</v>
      </c>
      <c r="G22" s="12" t="str">
        <f>HLOOKUP(Language!$C$3,Language!$E$1:$Z490,18,FALSE)</f>
        <v>Reason branding</v>
      </c>
      <c r="H22" s="14" t="s">
        <v>1</v>
      </c>
      <c r="I22" s="14"/>
      <c r="J22" s="12" t="s">
        <v>177</v>
      </c>
      <c r="K22" s="12" t="str">
        <f>HLOOKUP(Language!$C$3,Language!$E$1:$Z490,18,FALSE)</f>
        <v>Reason branding</v>
      </c>
      <c r="L22" s="14" t="s">
        <v>1</v>
      </c>
      <c r="M22" s="14"/>
      <c r="N22" s="12" t="s">
        <v>177</v>
      </c>
      <c r="O22" s="12" t="str">
        <f>HLOOKUP(Language!$C$3,Language!$E$1:$Z490,18,FALSE)</f>
        <v>Reason branding</v>
      </c>
      <c r="P22" s="14" t="s">
        <v>1</v>
      </c>
      <c r="Q22" s="14"/>
      <c r="R22" s="12" t="s">
        <v>177</v>
      </c>
      <c r="S22" s="12"/>
      <c r="T22" s="14"/>
      <c r="U22" s="14"/>
      <c r="V22" s="12"/>
      <c r="W22" s="12"/>
      <c r="X22" s="14"/>
      <c r="Y22" s="14"/>
      <c r="Z22" s="12"/>
      <c r="AA22" s="12"/>
      <c r="AB22" s="14"/>
      <c r="AC22" s="14"/>
      <c r="AD22" s="12"/>
      <c r="AE22" s="12"/>
      <c r="AF22" s="14"/>
      <c r="AG22" s="14"/>
      <c r="AH22" s="12"/>
    </row>
    <row r="23" spans="1:34" x14ac:dyDescent="0.2">
      <c r="A23" s="17"/>
      <c r="C23" s="86"/>
      <c r="D23" s="5"/>
      <c r="E23" s="5"/>
      <c r="G23" s="86"/>
      <c r="H23" s="5"/>
      <c r="I23" s="5"/>
      <c r="J23" s="86"/>
      <c r="K23" s="86"/>
      <c r="L23" s="5"/>
      <c r="M23" s="5"/>
      <c r="N23" s="86"/>
      <c r="O23" s="86"/>
      <c r="P23" s="5"/>
      <c r="Q23" s="5"/>
      <c r="R23" s="86"/>
      <c r="S23" s="86"/>
      <c r="T23" s="5"/>
      <c r="U23" s="5"/>
      <c r="V23" s="86"/>
      <c r="W23" s="86"/>
      <c r="X23" s="5"/>
      <c r="Y23" s="5"/>
      <c r="Z23" s="86"/>
      <c r="AA23" s="86"/>
      <c r="AB23" s="5"/>
      <c r="AC23" s="5"/>
      <c r="AD23" s="86"/>
      <c r="AE23" s="86"/>
      <c r="AF23" s="5"/>
      <c r="AG23" s="5"/>
      <c r="AH23" s="86"/>
    </row>
    <row r="24" spans="1:34" x14ac:dyDescent="0.2">
      <c r="A24" s="11">
        <v>6</v>
      </c>
      <c r="B24" s="4" t="str">
        <f>HLOOKUP(Language!$C$3,Language!$E$1:$Z549,20,FALSE)</f>
        <v>Firmware Version</v>
      </c>
      <c r="C24" s="11" t="str">
        <f>HLOOKUP(Language!$C$3,Language!$E$1:$Z544,21,FALSE)</f>
        <v>Latest available firmware</v>
      </c>
      <c r="D24" s="224" t="s">
        <v>131</v>
      </c>
      <c r="E24" s="11"/>
      <c r="F24" s="118" t="s">
        <v>177</v>
      </c>
      <c r="G24" s="11" t="str">
        <f>HLOOKUP(Language!$C$3,Language!$E$1:$Z544,21,FALSE)</f>
        <v>Latest available firmware</v>
      </c>
      <c r="H24" s="224" t="s">
        <v>133</v>
      </c>
      <c r="I24" s="11"/>
      <c r="J24" s="11" t="s">
        <v>177</v>
      </c>
      <c r="K24" s="11" t="str">
        <f>HLOOKUP(Language!$C$3,Language!$E$1:$Z544,21,FALSE)</f>
        <v>Latest available firmware</v>
      </c>
      <c r="L24" s="224" t="s">
        <v>133</v>
      </c>
      <c r="M24" s="11"/>
      <c r="N24" s="11" t="s">
        <v>177</v>
      </c>
      <c r="O24" s="11" t="str">
        <f>CONCATENATE(HLOOKUP(Language!$C$3,Language!$E$1:$Z525,21,FALSE)," - 07")</f>
        <v>Latest available firmware - 07</v>
      </c>
      <c r="P24" s="224" t="s">
        <v>167</v>
      </c>
      <c r="Q24" s="11"/>
      <c r="R24" s="11" t="s">
        <v>177</v>
      </c>
      <c r="S24" s="11" t="str">
        <f>CONCATENATE(HLOOKUP(Language!$C$3,Language!$E$1:$Z525,21,FALSE)," - 07")</f>
        <v>Latest available firmware - 07</v>
      </c>
      <c r="T24" s="224" t="s">
        <v>167</v>
      </c>
      <c r="U24" s="11"/>
      <c r="V24" s="11" t="s">
        <v>177</v>
      </c>
      <c r="W24" s="11" t="str">
        <f>CONCATENATE(HLOOKUP(Language!$C$3,Language!$E$1:$Z525,21,FALSE)," - 07")</f>
        <v>Latest available firmware - 07</v>
      </c>
      <c r="X24" s="224" t="s">
        <v>167</v>
      </c>
      <c r="Y24" s="11"/>
      <c r="Z24" s="11" t="s">
        <v>177</v>
      </c>
      <c r="AA24" s="11" t="str">
        <f>CONCATENATE(HLOOKUP(Language!$C$3,Language!$E$1:$Z525,21,FALSE)," - 08")</f>
        <v>Latest available firmware - 08</v>
      </c>
      <c r="AB24" s="224" t="s">
        <v>224</v>
      </c>
      <c r="AC24" s="11"/>
      <c r="AD24" s="11" t="s">
        <v>177</v>
      </c>
      <c r="AE24" s="11" t="str">
        <f>CONCATENATE(HLOOKUP(Language!$C$3,Language!$E$1:$Z525,21,FALSE)," - 08")</f>
        <v>Latest available firmware - 08</v>
      </c>
      <c r="AF24" s="224" t="s">
        <v>224</v>
      </c>
      <c r="AG24" s="11"/>
      <c r="AH24" s="11" t="s">
        <v>177</v>
      </c>
    </row>
    <row r="25" spans="1:34" x14ac:dyDescent="0.2">
      <c r="A25" s="12"/>
      <c r="C25" s="12"/>
      <c r="D25" s="14"/>
      <c r="E25" s="14"/>
      <c r="F25" s="218"/>
      <c r="G25" s="12"/>
      <c r="H25" s="14"/>
      <c r="I25" s="14"/>
      <c r="J25" s="12"/>
      <c r="K25" s="12"/>
      <c r="L25" s="14"/>
      <c r="M25" s="14"/>
      <c r="N25" s="12"/>
      <c r="O25" s="12" t="str">
        <f>CONCATENATE(HLOOKUP(Language!$C$3,Language!$E$1:$Z526,51,FALSE)," - 06")</f>
        <v>Firmware version number - 06</v>
      </c>
      <c r="P25" s="225" t="s">
        <v>133</v>
      </c>
      <c r="Q25" s="14"/>
      <c r="R25" s="12" t="s">
        <v>177</v>
      </c>
      <c r="S25" s="12"/>
      <c r="T25" s="225"/>
      <c r="U25" s="14"/>
      <c r="V25" s="12"/>
      <c r="W25" s="12"/>
      <c r="X25" s="225"/>
      <c r="Y25" s="14"/>
      <c r="Z25" s="12"/>
      <c r="AA25" s="12" t="str">
        <f>CONCATENATE(HLOOKUP(Language!$C$3,Language!$E$1:$Z526,51,FALSE)," - 07")</f>
        <v>Firmware version number - 07</v>
      </c>
      <c r="AB25" s="225" t="s">
        <v>167</v>
      </c>
      <c r="AC25" s="14"/>
      <c r="AD25" s="12" t="s">
        <v>177</v>
      </c>
      <c r="AE25" s="12" t="str">
        <f>CONCATENATE(HLOOKUP(Language!$C$3,Language!$E$1:$Z526,51,FALSE)," - 07")</f>
        <v>Firmware version number - 07</v>
      </c>
      <c r="AF25" s="225" t="s">
        <v>167</v>
      </c>
      <c r="AG25" s="14"/>
      <c r="AH25" s="12" t="s">
        <v>177</v>
      </c>
    </row>
    <row r="26" spans="1:34" x14ac:dyDescent="0.2">
      <c r="A26" s="12"/>
      <c r="C26" s="12"/>
      <c r="D26" s="14"/>
      <c r="E26" s="14"/>
      <c r="F26" s="218"/>
      <c r="G26" s="12"/>
      <c r="H26" s="14"/>
      <c r="I26" s="14"/>
      <c r="J26" s="17"/>
      <c r="K26" s="12"/>
      <c r="L26" s="14"/>
      <c r="M26" s="14"/>
      <c r="N26" s="17"/>
      <c r="O26" s="12" t="str">
        <f>CONCATENATE(HLOOKUP(Language!$C$3,Language!$E$1:$Z527,51,FALSE)," - 05")</f>
        <v>Firmware version number - 05</v>
      </c>
      <c r="P26" s="225" t="s">
        <v>131</v>
      </c>
      <c r="Q26" s="14"/>
      <c r="R26" s="12" t="s">
        <v>177</v>
      </c>
      <c r="S26" s="12"/>
      <c r="T26" s="225"/>
      <c r="U26" s="14"/>
      <c r="V26" s="12"/>
      <c r="W26" s="12"/>
      <c r="X26" s="225"/>
      <c r="Y26" s="14"/>
      <c r="Z26" s="12"/>
      <c r="AA26" s="12"/>
      <c r="AB26" s="225"/>
      <c r="AC26" s="14"/>
      <c r="AD26" s="12"/>
      <c r="AE26" s="12"/>
      <c r="AF26" s="225"/>
      <c r="AG26" s="14"/>
      <c r="AH26" s="12"/>
    </row>
    <row r="27" spans="1:34" x14ac:dyDescent="0.2">
      <c r="A27" s="11">
        <v>7</v>
      </c>
      <c r="B27" s="6" t="str">
        <f>HLOOKUP(Language!$C$3,Language!$E$1:$Z547,22,FALSE)</f>
        <v>Hardware Design Suffix</v>
      </c>
      <c r="C27" s="11" t="str">
        <f>HLOOKUP(Language!$C$3,Language!$E$1:$Z542,23,FALSE)</f>
        <v>Initial version</v>
      </c>
      <c r="D27" s="11" t="s">
        <v>0</v>
      </c>
      <c r="E27" s="11"/>
      <c r="F27" s="118" t="s">
        <v>177</v>
      </c>
      <c r="G27" s="11" t="str">
        <f>HLOOKUP(Language!$C$3,Language!$E$1:$Z542,23,FALSE)</f>
        <v>Initial version</v>
      </c>
      <c r="H27" s="11" t="s">
        <v>0</v>
      </c>
      <c r="I27" s="11"/>
      <c r="J27" s="11" t="s">
        <v>177</v>
      </c>
      <c r="K27" s="11" t="str">
        <f>HLOOKUP(Language!$C$3,Language!$E$1:$Z542,23,FALSE)</f>
        <v>Initial version</v>
      </c>
      <c r="L27" s="11" t="s">
        <v>0</v>
      </c>
      <c r="M27" s="11"/>
      <c r="N27" s="11" t="s">
        <v>177</v>
      </c>
      <c r="O27" s="11" t="str">
        <f>HLOOKUP(Language!$C$3,Language!$E$1:$Z542,23,FALSE)</f>
        <v>Initial version</v>
      </c>
      <c r="P27" s="11" t="s">
        <v>0</v>
      </c>
      <c r="Q27" s="11"/>
      <c r="R27" s="11" t="s">
        <v>177</v>
      </c>
      <c r="S27" s="11" t="str">
        <f>HLOOKUP(Language!$C$3,Language!$E$1:$Z542,23,FALSE)</f>
        <v>Initial version</v>
      </c>
      <c r="T27" s="11" t="s">
        <v>0</v>
      </c>
      <c r="U27" s="11"/>
      <c r="V27" s="11" t="s">
        <v>177</v>
      </c>
      <c r="W27" s="11" t="str">
        <f>HLOOKUP(Language!$C$3,Language!$E$1:$Z542,23,FALSE)</f>
        <v>Initial version</v>
      </c>
      <c r="X27" s="11" t="s">
        <v>0</v>
      </c>
      <c r="Y27" s="11"/>
      <c r="Z27" s="11" t="s">
        <v>177</v>
      </c>
      <c r="AA27" s="11" t="str">
        <f>HLOOKUP(Language!$C$3,Language!$E$1:$Z542,23,FALSE)</f>
        <v>Initial version</v>
      </c>
      <c r="AB27" s="11" t="s">
        <v>0</v>
      </c>
      <c r="AC27" s="11"/>
      <c r="AD27" s="11" t="s">
        <v>177</v>
      </c>
      <c r="AE27" s="11" t="str">
        <f>HLOOKUP(Language!$C$3,Language!$E$1:$Z542,23,FALSE)</f>
        <v>Initial version</v>
      </c>
      <c r="AF27" s="11" t="s">
        <v>0</v>
      </c>
      <c r="AG27" s="11"/>
      <c r="AH27" s="11" t="s">
        <v>177</v>
      </c>
    </row>
    <row r="28" spans="1:34" x14ac:dyDescent="0.2">
      <c r="A28" s="17"/>
      <c r="C28" s="86"/>
      <c r="D28" s="5"/>
      <c r="E28" s="5"/>
      <c r="G28" s="86"/>
      <c r="H28" s="5"/>
      <c r="I28" s="5"/>
      <c r="J28" s="86"/>
      <c r="K28" s="86"/>
      <c r="L28" s="5"/>
      <c r="M28" s="5"/>
      <c r="N28" s="86"/>
      <c r="O28" s="86"/>
      <c r="P28" s="5"/>
      <c r="Q28" s="5"/>
      <c r="R28" s="86"/>
      <c r="S28" s="86"/>
      <c r="T28" s="5"/>
      <c r="U28" s="5"/>
      <c r="V28" s="86"/>
      <c r="W28" s="86"/>
      <c r="X28" s="5"/>
      <c r="Y28" s="5"/>
      <c r="Z28" s="86"/>
      <c r="AA28" s="86"/>
      <c r="AB28" s="5"/>
      <c r="AC28" s="5"/>
      <c r="AD28" s="86"/>
      <c r="AE28" s="86"/>
      <c r="AF28" s="5"/>
      <c r="AG28" s="5"/>
      <c r="AH28" s="86"/>
    </row>
    <row r="29" spans="1:34" x14ac:dyDescent="0.2">
      <c r="A29" s="11">
        <v>8</v>
      </c>
      <c r="B29" s="117" t="str">
        <f>HLOOKUP(Language!$C$3,Language!$E$1:$Z539,24,FALSE)</f>
        <v>GPS Antenna</v>
      </c>
      <c r="C29" s="11" t="str">
        <f>HLOOKUP(Language!$C$3,Language!$E$1:$Z534,25,FALSE)</f>
        <v>Without antenna</v>
      </c>
      <c r="D29" s="11">
        <v>0</v>
      </c>
      <c r="E29" s="11"/>
      <c r="F29" s="118" t="s">
        <v>177</v>
      </c>
      <c r="G29" s="11" t="str">
        <f>HLOOKUP(Language!$C$3,Language!$E$1:$Z534,25,FALSE)</f>
        <v>Without antenna</v>
      </c>
      <c r="H29" s="11">
        <v>0</v>
      </c>
      <c r="I29" s="11"/>
      <c r="J29" s="11" t="s">
        <v>177</v>
      </c>
      <c r="K29" s="11" t="str">
        <f>HLOOKUP(Language!$C$3,Language!$E$1:$Z534,25,FALSE)</f>
        <v>Without antenna</v>
      </c>
      <c r="L29" s="11">
        <v>0</v>
      </c>
      <c r="M29" s="11"/>
      <c r="N29" s="11" t="s">
        <v>177</v>
      </c>
      <c r="O29" s="11" t="str">
        <f>HLOOKUP(Language!$C$3,Language!$E$1:$Z534,25,FALSE)</f>
        <v>Without antenna</v>
      </c>
      <c r="P29" s="11">
        <v>0</v>
      </c>
      <c r="Q29" s="11"/>
      <c r="R29" s="11" t="s">
        <v>177</v>
      </c>
      <c r="S29" s="11" t="str">
        <f>HLOOKUP(Language!$C$3,Language!$E$1:$Z534,25,FALSE)</f>
        <v>Without antenna</v>
      </c>
      <c r="T29" s="11">
        <v>0</v>
      </c>
      <c r="U29" s="11"/>
      <c r="V29" s="11" t="s">
        <v>177</v>
      </c>
      <c r="W29" s="11" t="str">
        <f>HLOOKUP(Language!$C$3,Language!$E$1:$Z534,25,FALSE)</f>
        <v>Without antenna</v>
      </c>
      <c r="X29" s="11">
        <v>0</v>
      </c>
      <c r="Y29" s="11"/>
      <c r="Z29" s="11" t="s">
        <v>177</v>
      </c>
      <c r="AA29" s="11" t="str">
        <f>HLOOKUP(Language!$C$3,Language!$E$1:$Z534,25,FALSE)</f>
        <v>Without antenna</v>
      </c>
      <c r="AB29" s="11">
        <v>0</v>
      </c>
      <c r="AC29" s="11"/>
      <c r="AD29" s="11" t="s">
        <v>177</v>
      </c>
      <c r="AE29" s="11" t="str">
        <f>HLOOKUP(Language!$C$3,Language!$E$1:$Z534,25,FALSE)</f>
        <v>Without antenna</v>
      </c>
      <c r="AF29" s="11">
        <v>0</v>
      </c>
      <c r="AG29" s="11"/>
      <c r="AH29" s="11" t="s">
        <v>177</v>
      </c>
    </row>
    <row r="30" spans="1:34" x14ac:dyDescent="0.2">
      <c r="A30" s="12"/>
      <c r="B30" s="18"/>
      <c r="C30" s="12" t="str">
        <f>HLOOKUP(Language!$C$3,Language!$E$1:$Z534,26,FALSE)</f>
        <v>3.3V TNC Female active GPS antenna</v>
      </c>
      <c r="D30" s="14">
        <v>1</v>
      </c>
      <c r="E30" s="14"/>
      <c r="F30" s="218" t="s">
        <v>177</v>
      </c>
      <c r="G30" s="12" t="str">
        <f>HLOOKUP(Language!$C$3,Language!$E$1:$Z534,26,FALSE)</f>
        <v>3.3V TNC Female active GPS antenna</v>
      </c>
      <c r="H30" s="14">
        <v>1</v>
      </c>
      <c r="I30" s="14"/>
      <c r="J30" s="12" t="s">
        <v>177</v>
      </c>
      <c r="K30" s="12" t="str">
        <f>HLOOKUP(Language!$C$3,Language!$E$1:$Z534,53,FALSE)</f>
        <v>3.3V TNC Female active GNSS antenna</v>
      </c>
      <c r="L30" s="14">
        <v>2</v>
      </c>
      <c r="M30" s="14"/>
      <c r="N30" s="12" t="s">
        <v>177</v>
      </c>
      <c r="O30" s="12" t="str">
        <f>HLOOKUP(Language!$C$3,Language!$E$1:$Z534,53,FALSE)</f>
        <v>3.3V TNC Female active GNSS antenna</v>
      </c>
      <c r="P30" s="14">
        <v>2</v>
      </c>
      <c r="Q30" s="14"/>
      <c r="R30" s="12" t="s">
        <v>177</v>
      </c>
      <c r="S30" s="12" t="str">
        <f>HLOOKUP(Language!$C$3,Language!$E$1:$Z534,53,FALSE)</f>
        <v>3.3V TNC Female active GNSS antenna</v>
      </c>
      <c r="T30" s="14">
        <v>2</v>
      </c>
      <c r="U30" s="14"/>
      <c r="V30" s="12" t="s">
        <v>177</v>
      </c>
      <c r="W30" s="12" t="str">
        <f>HLOOKUP(Language!$C$3,Language!$E$1:$Z534,53,FALSE)</f>
        <v>3.3V TNC Female active GNSS antenna</v>
      </c>
      <c r="X30" s="14">
        <v>2</v>
      </c>
      <c r="Y30" s="14"/>
      <c r="Z30" s="12" t="s">
        <v>177</v>
      </c>
      <c r="AA30" s="12" t="str">
        <f>HLOOKUP(Language!$C$3,Language!$E$1:$Z534,53,FALSE)</f>
        <v>3.3V TNC Female active GNSS antenna</v>
      </c>
      <c r="AB30" s="14">
        <v>2</v>
      </c>
      <c r="AC30" s="14"/>
      <c r="AD30" s="12" t="s">
        <v>177</v>
      </c>
      <c r="AE30" s="12" t="str">
        <f>HLOOKUP(Language!$C$3,Language!$E$1:$Z534,53,FALSE)</f>
        <v>3.3V TNC Female active GNSS antenna</v>
      </c>
      <c r="AF30" s="14">
        <v>2</v>
      </c>
      <c r="AG30" s="14"/>
      <c r="AH30" s="12" t="s">
        <v>177</v>
      </c>
    </row>
    <row r="31" spans="1:34" x14ac:dyDescent="0.2">
      <c r="A31" s="12"/>
      <c r="B31" s="18"/>
      <c r="C31" s="17"/>
      <c r="D31" s="14"/>
      <c r="E31" s="14"/>
      <c r="F31" s="218"/>
      <c r="G31" s="17"/>
      <c r="H31" s="14"/>
      <c r="I31" s="14"/>
      <c r="J31" s="17"/>
      <c r="K31" s="17"/>
      <c r="L31" s="14"/>
      <c r="M31" s="14"/>
      <c r="N31" s="17"/>
      <c r="O31" s="17"/>
      <c r="P31" s="14"/>
      <c r="Q31" s="14"/>
      <c r="R31" s="17"/>
      <c r="S31" s="17"/>
      <c r="T31" s="14"/>
      <c r="U31" s="14"/>
      <c r="V31" s="17"/>
      <c r="W31" s="17"/>
      <c r="X31" s="14"/>
      <c r="Y31" s="14"/>
      <c r="Z31" s="17"/>
      <c r="AA31" s="17"/>
      <c r="AB31" s="14"/>
      <c r="AC31" s="14"/>
      <c r="AD31" s="17"/>
      <c r="AE31" s="17"/>
      <c r="AF31" s="14"/>
      <c r="AG31" s="14"/>
      <c r="AH31" s="17"/>
    </row>
    <row r="32" spans="1:34" x14ac:dyDescent="0.2">
      <c r="A32" s="11">
        <v>9</v>
      </c>
      <c r="B32" s="4" t="str">
        <f>HLOOKUP(Language!$C$3,Language!$E$1:$Z535,27,FALSE)</f>
        <v>Antenna Cable</v>
      </c>
      <c r="C32" s="11" t="str">
        <f>HLOOKUP(Language!$C$3,Language!$E$1:$Z525,28,FALSE)</f>
        <v>No cable</v>
      </c>
      <c r="D32" s="219">
        <v>0</v>
      </c>
      <c r="E32" s="13"/>
      <c r="F32" s="220" t="s">
        <v>177</v>
      </c>
      <c r="G32" s="11" t="str">
        <f>HLOOKUP(Language!$C$3,Language!$E$1:$Z525,28,FALSE)</f>
        <v>No cable</v>
      </c>
      <c r="H32" s="219">
        <v>0</v>
      </c>
      <c r="I32" s="13"/>
      <c r="J32" s="11" t="s">
        <v>177</v>
      </c>
      <c r="K32" s="11" t="str">
        <f>HLOOKUP(Language!$C$3,Language!$E$1:$Z499,28,FALSE)</f>
        <v>No cable</v>
      </c>
      <c r="L32" s="219">
        <v>0</v>
      </c>
      <c r="M32" s="13"/>
      <c r="N32" s="11" t="s">
        <v>177</v>
      </c>
      <c r="O32" s="11" t="str">
        <f>HLOOKUP(Language!$C$3,Language!$E$1:$Z499,28,FALSE)</f>
        <v>No cable</v>
      </c>
      <c r="P32" s="219">
        <v>0</v>
      </c>
      <c r="Q32" s="13"/>
      <c r="R32" s="11" t="s">
        <v>177</v>
      </c>
      <c r="S32" s="11" t="str">
        <f>HLOOKUP(Language!$C$3,Language!$E$1:$Z499,28,FALSE)</f>
        <v>No cable</v>
      </c>
      <c r="T32" s="219">
        <v>0</v>
      </c>
      <c r="U32" s="13"/>
      <c r="V32" s="11" t="s">
        <v>177</v>
      </c>
      <c r="W32" s="11" t="str">
        <f>HLOOKUP(Language!$C$3,Language!$E$1:$Z499,28,FALSE)</f>
        <v>No cable</v>
      </c>
      <c r="X32" s="219">
        <v>0</v>
      </c>
      <c r="Y32" s="13"/>
      <c r="Z32" s="11" t="s">
        <v>177</v>
      </c>
      <c r="AA32" s="11" t="str">
        <f>HLOOKUP(Language!$C$3,Language!$E$1:$Z499,28,FALSE)</f>
        <v>No cable</v>
      </c>
      <c r="AB32" s="219">
        <v>0</v>
      </c>
      <c r="AC32" s="13"/>
      <c r="AD32" s="11" t="s">
        <v>177</v>
      </c>
      <c r="AE32" s="11" t="str">
        <f>HLOOKUP(Language!$C$3,Language!$E$1:$Z499,28,FALSE)</f>
        <v>No cable</v>
      </c>
      <c r="AF32" s="219">
        <v>0</v>
      </c>
      <c r="AG32" s="13"/>
      <c r="AH32" s="11" t="s">
        <v>177</v>
      </c>
    </row>
    <row r="33" spans="1:34" x14ac:dyDescent="0.2">
      <c r="A33" s="12"/>
      <c r="B33" s="18"/>
      <c r="C33" s="12" t="str">
        <f>HLOOKUP(Language!$C$3,Language!$E$1:$Z526,29,FALSE)</f>
        <v>15 m (50 ft) TNC Male to BNC Male RGC-58 antenna cable</v>
      </c>
      <c r="D33" s="225">
        <v>1</v>
      </c>
      <c r="E33" s="14"/>
      <c r="F33" s="218" t="s">
        <v>177</v>
      </c>
      <c r="G33" s="12" t="str">
        <f>HLOOKUP(Language!$C$3,Language!$E$1:$Z526,29,FALSE)</f>
        <v>15 m (50 ft) TNC Male to BNC Male RGC-58 antenna cable</v>
      </c>
      <c r="H33" s="225">
        <v>1</v>
      </c>
      <c r="I33" s="14"/>
      <c r="J33" s="12" t="s">
        <v>177</v>
      </c>
      <c r="K33" s="12" t="str">
        <f>HLOOKUP(Language!$C$3,Language!$E$1:$Z500,54,FALSE)</f>
        <v>15 m (50 ft) TNC Male to BNC Male (Attennuation &lt; 0,05 dB/m @ 1500 MHZ)</v>
      </c>
      <c r="L33" s="225">
        <v>1</v>
      </c>
      <c r="M33" s="14"/>
      <c r="N33" s="12" t="s">
        <v>177</v>
      </c>
      <c r="O33" s="12" t="str">
        <f>HLOOKUP(Language!$C$3,Language!$E$1:$Z500,54,FALSE)</f>
        <v>15 m (50 ft) TNC Male to BNC Male (Attennuation &lt; 0,05 dB/m @ 1500 MHZ)</v>
      </c>
      <c r="P33" s="225">
        <v>1</v>
      </c>
      <c r="Q33" s="14"/>
      <c r="R33" s="12" t="s">
        <v>177</v>
      </c>
      <c r="S33" s="12" t="str">
        <f>HLOOKUP(Language!$C$3,Language!$E$1:$Z500,54,FALSE)</f>
        <v>15 m (50 ft) TNC Male to BNC Male (Attennuation &lt; 0,05 dB/m @ 1500 MHZ)</v>
      </c>
      <c r="T33" s="225">
        <v>1</v>
      </c>
      <c r="U33" s="14"/>
      <c r="V33" s="12" t="s">
        <v>177</v>
      </c>
      <c r="W33" s="12" t="str">
        <f>HLOOKUP(Language!$C$3,Language!$E$1:$Z500,63,FALSE)</f>
        <v>15 m (50 ft) TNC Male to BNC Male (Attennuation &lt; 0.5 dB/m @ 1500 MHZ)</v>
      </c>
      <c r="X33" s="225">
        <v>1</v>
      </c>
      <c r="Y33" s="14"/>
      <c r="Z33" s="12" t="s">
        <v>177</v>
      </c>
      <c r="AA33" s="12" t="str">
        <f>HLOOKUP(Language!$C$3,Language!$E$1:$Z500,63,FALSE)</f>
        <v>15 m (50 ft) TNC Male to BNC Male (Attennuation &lt; 0.5 dB/m @ 1500 MHZ)</v>
      </c>
      <c r="AB33" s="225">
        <v>1</v>
      </c>
      <c r="AC33" s="14"/>
      <c r="AD33" s="12" t="s">
        <v>177</v>
      </c>
      <c r="AE33" s="12" t="str">
        <f>HLOOKUP(Language!$C$3,Language!$E$1:$Z500,63,FALSE)</f>
        <v>15 m (50 ft) TNC Male to BNC Male (Attennuation &lt; 0.5 dB/m @ 1500 MHZ)</v>
      </c>
      <c r="AF33" s="225">
        <v>1</v>
      </c>
      <c r="AG33" s="14"/>
      <c r="AH33" s="12" t="s">
        <v>177</v>
      </c>
    </row>
    <row r="34" spans="1:34" x14ac:dyDescent="0.2">
      <c r="A34" s="12"/>
      <c r="B34" s="18"/>
      <c r="C34" s="12" t="str">
        <f>HLOOKUP(Language!$C$3,Language!$E$1:$Z527,30,FALSE)</f>
        <v>25 m (82 ft) TNC Male to BNC Male RGC-58 antenna cable</v>
      </c>
      <c r="D34" s="225">
        <v>2</v>
      </c>
      <c r="E34" s="14"/>
      <c r="F34" s="218" t="s">
        <v>177</v>
      </c>
      <c r="G34" s="12" t="str">
        <f>HLOOKUP(Language!$C$3,Language!$E$1:$Z527,30,FALSE)</f>
        <v>25 m (82 ft) TNC Male to BNC Male RGC-58 antenna cable</v>
      </c>
      <c r="H34" s="225">
        <v>2</v>
      </c>
      <c r="I34" s="14"/>
      <c r="J34" s="12" t="s">
        <v>177</v>
      </c>
      <c r="K34" s="12" t="str">
        <f>HLOOKUP(Language!$C$3,Language!$E$1:$Z501,55,FALSE)</f>
        <v>25 m (82 ft) TNC Male to BNC Male (Attennuation &lt; 0,05 dB/m @ 1500 MHZ)</v>
      </c>
      <c r="L34" s="225">
        <v>2</v>
      </c>
      <c r="M34" s="14"/>
      <c r="N34" s="12" t="s">
        <v>177</v>
      </c>
      <c r="O34" s="12" t="str">
        <f>HLOOKUP(Language!$C$3,Language!$E$1:$Z501,55,FALSE)</f>
        <v>25 m (82 ft) TNC Male to BNC Male (Attennuation &lt; 0,05 dB/m @ 1500 MHZ)</v>
      </c>
      <c r="P34" s="225">
        <v>2</v>
      </c>
      <c r="Q34" s="14"/>
      <c r="R34" s="12" t="s">
        <v>177</v>
      </c>
      <c r="S34" s="12" t="str">
        <f>HLOOKUP(Language!$C$3,Language!$E$1:$Z501,55,FALSE)</f>
        <v>25 m (82 ft) TNC Male to BNC Male (Attennuation &lt; 0,05 dB/m @ 1500 MHZ)</v>
      </c>
      <c r="T34" s="225">
        <v>2</v>
      </c>
      <c r="U34" s="14"/>
      <c r="V34" s="12" t="s">
        <v>177</v>
      </c>
      <c r="W34" s="12" t="str">
        <f>HLOOKUP(Language!$C$3,Language!$E$1:$Z501,64,FALSE)</f>
        <v>25 m (82 ft) TNC Male to BNC Male (Attennuation &lt; 0.5 dB/m @ 1500 MHZ)</v>
      </c>
      <c r="X34" s="225">
        <v>2</v>
      </c>
      <c r="Y34" s="14"/>
      <c r="Z34" s="12" t="s">
        <v>177</v>
      </c>
      <c r="AA34" s="12" t="str">
        <f>HLOOKUP(Language!$C$3,Language!$E$1:$Z501,64,FALSE)</f>
        <v>25 m (82 ft) TNC Male to BNC Male (Attennuation &lt; 0.5 dB/m @ 1500 MHZ)</v>
      </c>
      <c r="AB34" s="225">
        <v>2</v>
      </c>
      <c r="AC34" s="14"/>
      <c r="AD34" s="12" t="s">
        <v>177</v>
      </c>
      <c r="AE34" s="12" t="str">
        <f>HLOOKUP(Language!$C$3,Language!$E$1:$Z501,64,FALSE)</f>
        <v>25 m (82 ft) TNC Male to BNC Male (Attennuation &lt; 0.5 dB/m @ 1500 MHZ)</v>
      </c>
      <c r="AF34" s="225">
        <v>2</v>
      </c>
      <c r="AG34" s="14"/>
      <c r="AH34" s="12" t="s">
        <v>177</v>
      </c>
    </row>
    <row r="35" spans="1:34" x14ac:dyDescent="0.2">
      <c r="A35" s="12"/>
      <c r="B35" s="18"/>
      <c r="C35" s="12" t="str">
        <f>HLOOKUP(Language!$C$3,Language!$E$1:$Z528,31,FALSE)</f>
        <v>40 m (131 ft) TNC Male to BNC Male RGC-58 antenna cable</v>
      </c>
      <c r="D35" s="225">
        <v>3</v>
      </c>
      <c r="E35" s="14"/>
      <c r="F35" s="218" t="s">
        <v>177</v>
      </c>
      <c r="G35" s="12" t="str">
        <f>HLOOKUP(Language!$C$3,Language!$E$1:$Z528,31,FALSE)</f>
        <v>40 m (131 ft) TNC Male to BNC Male RGC-58 antenna cable</v>
      </c>
      <c r="H35" s="225">
        <v>3</v>
      </c>
      <c r="I35" s="14"/>
      <c r="J35" s="12" t="s">
        <v>177</v>
      </c>
      <c r="K35" s="12" t="str">
        <f>HLOOKUP(Language!$C$3,Language!$E$1:$Z502,56,FALSE)</f>
        <v>40 m (131 ft) TNC Male to BNC Male (Attennuation &lt; 0,05 dB/m @ 1500 MHZ)</v>
      </c>
      <c r="L35" s="225">
        <v>3</v>
      </c>
      <c r="M35" s="14"/>
      <c r="N35" s="12" t="s">
        <v>177</v>
      </c>
      <c r="O35" s="12" t="str">
        <f>HLOOKUP(Language!$C$3,Language!$E$1:$Z502,56,FALSE)</f>
        <v>40 m (131 ft) TNC Male to BNC Male (Attennuation &lt; 0,05 dB/m @ 1500 MHZ)</v>
      </c>
      <c r="P35" s="225">
        <v>3</v>
      </c>
      <c r="Q35" s="14"/>
      <c r="R35" s="12" t="s">
        <v>177</v>
      </c>
      <c r="S35" s="12" t="str">
        <f>HLOOKUP(Language!$C$3,Language!$E$1:$Z502,56,FALSE)</f>
        <v>40 m (131 ft) TNC Male to BNC Male (Attennuation &lt; 0,05 dB/m @ 1500 MHZ)</v>
      </c>
      <c r="T35" s="225">
        <v>3</v>
      </c>
      <c r="U35" s="14"/>
      <c r="V35" s="12" t="s">
        <v>177</v>
      </c>
      <c r="W35" s="12" t="str">
        <f>HLOOKUP(Language!$C$3,Language!$E$1:$Z502,65,FALSE)</f>
        <v>40 m (131 ft) TNC Male to BNC Male (Attennuation &lt; 0.5 dB/m @ 1500 MHZ)</v>
      </c>
      <c r="X35" s="225">
        <v>3</v>
      </c>
      <c r="Y35" s="14"/>
      <c r="Z35" s="12" t="s">
        <v>177</v>
      </c>
      <c r="AA35" s="12" t="str">
        <f>HLOOKUP(Language!$C$3,Language!$E$1:$Z502,65,FALSE)</f>
        <v>40 m (131 ft) TNC Male to BNC Male (Attennuation &lt; 0.5 dB/m @ 1500 MHZ)</v>
      </c>
      <c r="AB35" s="225">
        <v>3</v>
      </c>
      <c r="AC35" s="14"/>
      <c r="AD35" s="12" t="s">
        <v>177</v>
      </c>
      <c r="AE35" s="12" t="str">
        <f>HLOOKUP(Language!$C$3,Language!$E$1:$Z502,65,FALSE)</f>
        <v>40 m (131 ft) TNC Male to BNC Male (Attennuation &lt; 0.5 dB/m @ 1500 MHZ)</v>
      </c>
      <c r="AF35" s="225">
        <v>3</v>
      </c>
      <c r="AG35" s="14"/>
      <c r="AH35" s="12" t="s">
        <v>177</v>
      </c>
    </row>
    <row r="36" spans="1:34" x14ac:dyDescent="0.2">
      <c r="A36" s="12"/>
      <c r="B36" s="18"/>
      <c r="C36" s="12" t="str">
        <f>HLOOKUP(Language!$C$3,Language!$E$1:$Z529,32,FALSE)</f>
        <v>75 m (246 ft) TNC Male to BNC Male RGC-08 low attenuation antenna cable</v>
      </c>
      <c r="D36" s="225">
        <v>4</v>
      </c>
      <c r="E36" s="14"/>
      <c r="F36" s="218" t="s">
        <v>177</v>
      </c>
      <c r="G36" s="12" t="str">
        <f>HLOOKUP(Language!$C$3,Language!$E$1:$Z529,32,FALSE)</f>
        <v>75 m (246 ft) TNC Male to BNC Male RGC-08 low attenuation antenna cable</v>
      </c>
      <c r="H36" s="225">
        <v>4</v>
      </c>
      <c r="I36" s="14"/>
      <c r="J36" s="12" t="s">
        <v>177</v>
      </c>
      <c r="K36" s="12" t="str">
        <f>HLOOKUP(Language!$C$3,Language!$E$1:$Z503,57,FALSE)</f>
        <v>75 m (246 ft) TNC Male to BNC Male (Attennuation &lt; 0,02 dB/m @ 1500 MHZ)</v>
      </c>
      <c r="L36" s="225">
        <v>4</v>
      </c>
      <c r="M36" s="14"/>
      <c r="N36" s="12" t="s">
        <v>177</v>
      </c>
      <c r="O36" s="12" t="str">
        <f>HLOOKUP(Language!$C$3,Language!$E$1:$Z503,57,FALSE)</f>
        <v>75 m (246 ft) TNC Male to BNC Male (Attennuation &lt; 0,02 dB/m @ 1500 MHZ)</v>
      </c>
      <c r="P36" s="225">
        <v>4</v>
      </c>
      <c r="Q36" s="14"/>
      <c r="R36" s="12" t="s">
        <v>177</v>
      </c>
      <c r="S36" s="12" t="str">
        <f>HLOOKUP(Language!$C$3,Language!$E$1:$Z503,57,FALSE)</f>
        <v>75 m (246 ft) TNC Male to BNC Male (Attennuation &lt; 0,02 dB/m @ 1500 MHZ)</v>
      </c>
      <c r="T36" s="225">
        <v>4</v>
      </c>
      <c r="U36" s="14"/>
      <c r="V36" s="12" t="s">
        <v>177</v>
      </c>
      <c r="W36" s="12" t="str">
        <f>HLOOKUP(Language!$C$3,Language!$E$1:$Z503,66,FALSE)</f>
        <v>75 m (246 ft) TNC Male to BNC Male (Attennuation &lt; 0.2 dB/m @ 1500 MHZ)</v>
      </c>
      <c r="X36" s="225">
        <v>4</v>
      </c>
      <c r="Y36" s="14"/>
      <c r="Z36" s="12" t="s">
        <v>177</v>
      </c>
      <c r="AA36" s="12" t="str">
        <f>HLOOKUP(Language!$C$3,Language!$E$1:$Z503,66,FALSE)</f>
        <v>75 m (246 ft) TNC Male to BNC Male (Attennuation &lt; 0.2 dB/m @ 1500 MHZ)</v>
      </c>
      <c r="AB36" s="225">
        <v>4</v>
      </c>
      <c r="AC36" s="14"/>
      <c r="AD36" s="12" t="s">
        <v>177</v>
      </c>
      <c r="AE36" s="12" t="str">
        <f>HLOOKUP(Language!$C$3,Language!$E$1:$Z503,66,FALSE)</f>
        <v>75 m (246 ft) TNC Male to BNC Male (Attennuation &lt; 0.2 dB/m @ 1500 MHZ)</v>
      </c>
      <c r="AF36" s="225">
        <v>4</v>
      </c>
      <c r="AG36" s="14"/>
      <c r="AH36" s="12" t="s">
        <v>177</v>
      </c>
    </row>
    <row r="37" spans="1:34" x14ac:dyDescent="0.2">
      <c r="A37" s="12"/>
      <c r="B37" s="18"/>
      <c r="C37" s="12" t="str">
        <f>HLOOKUP(Language!$C$3,Language!$E$1:$Z530,33,FALSE)</f>
        <v>100 m (328 ft) TNC Male to BNC Male RGC-08 low attenuation antenna cable</v>
      </c>
      <c r="D37" s="225">
        <v>5</v>
      </c>
      <c r="E37" s="14"/>
      <c r="F37" s="218" t="s">
        <v>177</v>
      </c>
      <c r="G37" s="12" t="str">
        <f>HLOOKUP(Language!$C$3,Language!$E$1:$Z530,33,FALSE)</f>
        <v>100 m (328 ft) TNC Male to BNC Male RGC-08 low attenuation antenna cable</v>
      </c>
      <c r="H37" s="225">
        <v>5</v>
      </c>
      <c r="I37" s="14"/>
      <c r="J37" s="12" t="s">
        <v>177</v>
      </c>
      <c r="K37" s="12" t="str">
        <f>HLOOKUP(Language!$C$3,Language!$E$1:$Z504,58,FALSE)</f>
        <v>100 m (328 ft) TNC Male to BNC Male (Attennuation &lt; 0,02 dB/m @ 1500 MHZ)</v>
      </c>
      <c r="L37" s="225">
        <v>5</v>
      </c>
      <c r="M37" s="14"/>
      <c r="N37" s="12" t="s">
        <v>177</v>
      </c>
      <c r="O37" s="12" t="str">
        <f>HLOOKUP(Language!$C$3,Language!$E$1:$Z504,58,FALSE)</f>
        <v>100 m (328 ft) TNC Male to BNC Male (Attennuation &lt; 0,02 dB/m @ 1500 MHZ)</v>
      </c>
      <c r="P37" s="225">
        <v>5</v>
      </c>
      <c r="Q37" s="14"/>
      <c r="R37" s="12" t="s">
        <v>177</v>
      </c>
      <c r="S37" s="12" t="str">
        <f>HLOOKUP(Language!$C$3,Language!$E$1:$Z504,58,FALSE)</f>
        <v>100 m (328 ft) TNC Male to BNC Male (Attennuation &lt; 0,02 dB/m @ 1500 MHZ)</v>
      </c>
      <c r="T37" s="225">
        <v>5</v>
      </c>
      <c r="U37" s="14"/>
      <c r="V37" s="12" t="s">
        <v>177</v>
      </c>
      <c r="W37" s="12" t="str">
        <f>HLOOKUP(Language!$C$3,Language!$E$1:$Z504,67,FALSE)</f>
        <v>100 m (328 ft) TNC Male to BNC Male (Attennuation &lt; 0.2 dB/m @ 1500 MHZ)</v>
      </c>
      <c r="X37" s="225">
        <v>5</v>
      </c>
      <c r="Y37" s="14"/>
      <c r="Z37" s="12" t="s">
        <v>177</v>
      </c>
      <c r="AA37" s="12" t="str">
        <f>HLOOKUP(Language!$C$3,Language!$E$1:$Z504,67,FALSE)</f>
        <v>100 m (328 ft) TNC Male to BNC Male (Attennuation &lt; 0.2 dB/m @ 1500 MHZ)</v>
      </c>
      <c r="AB37" s="225">
        <v>5</v>
      </c>
      <c r="AC37" s="14"/>
      <c r="AD37" s="12" t="s">
        <v>177</v>
      </c>
      <c r="AE37" s="12" t="str">
        <f>HLOOKUP(Language!$C$3,Language!$E$1:$Z504,67,FALSE)</f>
        <v>100 m (328 ft) TNC Male to BNC Male (Attennuation &lt; 0.2 dB/m @ 1500 MHZ)</v>
      </c>
      <c r="AF37" s="225">
        <v>5</v>
      </c>
      <c r="AG37" s="14"/>
      <c r="AH37" s="12" t="s">
        <v>177</v>
      </c>
    </row>
    <row r="38" spans="1:34" x14ac:dyDescent="0.2">
      <c r="A38" s="17"/>
      <c r="C38" s="86"/>
      <c r="D38" s="5"/>
      <c r="E38" s="5"/>
      <c r="G38" s="86"/>
      <c r="H38" s="5"/>
      <c r="I38" s="5"/>
      <c r="J38" s="86"/>
      <c r="K38" s="86"/>
      <c r="L38" s="5"/>
      <c r="M38" s="5"/>
      <c r="N38" s="86"/>
      <c r="O38" s="86"/>
      <c r="P38" s="5"/>
      <c r="Q38" s="5"/>
      <c r="R38" s="86"/>
      <c r="S38" s="86"/>
      <c r="T38" s="5"/>
      <c r="U38" s="5"/>
      <c r="V38" s="86"/>
      <c r="W38" s="86"/>
      <c r="X38" s="5"/>
      <c r="Y38" s="5"/>
      <c r="Z38" s="86"/>
      <c r="AA38" s="86"/>
      <c r="AB38" s="5"/>
      <c r="AC38" s="5"/>
      <c r="AD38" s="86"/>
      <c r="AE38" s="12" t="str">
        <f>HLOOKUP(Language!$C$3,Language!$E$1:$Z505,73,FALSE)</f>
        <v>150 m (492 ft) TNC Male to BNC Male (Attennuation &lt; 0.2 dB/m @ 1500 MHZ)</v>
      </c>
      <c r="AF38" s="225">
        <v>6</v>
      </c>
      <c r="AG38" s="14"/>
      <c r="AH38" s="12" t="s">
        <v>177</v>
      </c>
    </row>
    <row r="39" spans="1:34" x14ac:dyDescent="0.2">
      <c r="A39" s="11">
        <v>10</v>
      </c>
      <c r="B39" s="221" t="str">
        <f>HLOOKUP(Language!$C$3,Language!$E$1:$Z520,34,FALSE)</f>
        <v>Surge Arrester</v>
      </c>
      <c r="C39" s="11" t="str">
        <f>HLOOKUP(Language!$C$3,Language!$E$1:$Z520,35,FALSE)</f>
        <v>Without surge arrester</v>
      </c>
      <c r="D39" s="11">
        <v>0</v>
      </c>
      <c r="E39" s="11"/>
      <c r="F39" s="11" t="s">
        <v>177</v>
      </c>
      <c r="G39" s="11" t="str">
        <f>HLOOKUP(Language!$C$3,Language!$E$1:$Z520,35,FALSE)</f>
        <v>Without surge arrester</v>
      </c>
      <c r="H39" s="11">
        <v>0</v>
      </c>
      <c r="I39" s="11"/>
      <c r="J39" s="11" t="s">
        <v>177</v>
      </c>
      <c r="K39" s="11" t="str">
        <f>HLOOKUP(Language!$C$3,Language!$E$1:$Z493,35,FALSE)</f>
        <v>Without surge arrester</v>
      </c>
      <c r="L39" s="11">
        <v>0</v>
      </c>
      <c r="M39" s="11"/>
      <c r="N39" s="11" t="s">
        <v>177</v>
      </c>
      <c r="O39" s="11" t="str">
        <f>HLOOKUP(Language!$C$3,Language!$E$1:$Z493,35,FALSE)</f>
        <v>Without surge arrester</v>
      </c>
      <c r="P39" s="11">
        <v>0</v>
      </c>
      <c r="Q39" s="11"/>
      <c r="R39" s="11" t="s">
        <v>177</v>
      </c>
      <c r="S39" s="11" t="str">
        <f>HLOOKUP(Language!$C$3,Language!$E$1:$Z493,35,FALSE)</f>
        <v>Without surge arrester</v>
      </c>
      <c r="T39" s="11">
        <v>0</v>
      </c>
      <c r="U39" s="11"/>
      <c r="V39" s="11" t="s">
        <v>177</v>
      </c>
      <c r="W39" s="11" t="str">
        <f>HLOOKUP(Language!$C$3,Language!$E$1:$Z493,35,FALSE)</f>
        <v>Without surge arrester</v>
      </c>
      <c r="X39" s="11">
        <v>0</v>
      </c>
      <c r="Y39" s="11"/>
      <c r="Z39" s="11" t="s">
        <v>177</v>
      </c>
      <c r="AA39" s="11" t="str">
        <f>HLOOKUP(Language!$C$3,Language!$E$1:$Z493,35,FALSE)</f>
        <v>Without surge arrester</v>
      </c>
      <c r="AB39" s="11">
        <v>0</v>
      </c>
      <c r="AC39" s="11"/>
      <c r="AD39" s="11" t="s">
        <v>177</v>
      </c>
      <c r="AE39" s="11" t="str">
        <f>HLOOKUP(Language!$C$3,Language!$E$1:$Z493,35,FALSE)</f>
        <v>Without surge arrester</v>
      </c>
      <c r="AF39" s="11">
        <v>0</v>
      </c>
      <c r="AG39" s="11"/>
      <c r="AH39" s="11" t="s">
        <v>177</v>
      </c>
    </row>
    <row r="40" spans="1:34" x14ac:dyDescent="0.2">
      <c r="A40" s="12"/>
      <c r="B40" s="222"/>
      <c r="C40" s="12" t="str">
        <f>HLOOKUP(Language!$C$3,Language!$E$1:$Z520,36,FALSE)</f>
        <v>10 kA, 50 Ohms, BNC-type connector Surge Arrester for 0-2000 MHz</v>
      </c>
      <c r="D40" s="14">
        <v>1</v>
      </c>
      <c r="E40" s="14"/>
      <c r="F40" s="14" t="s">
        <v>177</v>
      </c>
      <c r="G40" s="12" t="str">
        <f>HLOOKUP(Language!$C$3,Language!$E$1:$Z520,36,FALSE)</f>
        <v>10 kA, 50 Ohms, BNC-type connector Surge Arrester for 0-2000 MHz</v>
      </c>
      <c r="H40" s="14">
        <v>1</v>
      </c>
      <c r="I40" s="14"/>
      <c r="J40" s="14" t="s">
        <v>177</v>
      </c>
      <c r="K40" s="12" t="str">
        <f>HLOOKUP(Language!$C$3,Language!$E$1:$Z493,36,FALSE)</f>
        <v>10 kA, 50 Ohms, BNC-type connector Surge Arrester for 0-2000 MHz</v>
      </c>
      <c r="L40" s="14">
        <v>1</v>
      </c>
      <c r="M40" s="14"/>
      <c r="N40" s="14" t="s">
        <v>177</v>
      </c>
      <c r="O40" s="12" t="str">
        <f>HLOOKUP(Language!$C$3,Language!$E$1:$Z493,36,FALSE)</f>
        <v>10 kA, 50 Ohms, BNC-type connector Surge Arrester for 0-2000 MHz</v>
      </c>
      <c r="P40" s="14">
        <v>1</v>
      </c>
      <c r="Q40" s="14"/>
      <c r="R40" s="14" t="s">
        <v>177</v>
      </c>
      <c r="S40" s="12" t="str">
        <f>HLOOKUP(Language!$C$3,Language!$E$1:$Z493,36,FALSE)</f>
        <v>10 kA, 50 Ohms, BNC-type connector Surge Arrester for 0-2000 MHz</v>
      </c>
      <c r="T40" s="14">
        <v>1</v>
      </c>
      <c r="U40" s="14"/>
      <c r="V40" s="14" t="s">
        <v>177</v>
      </c>
      <c r="W40" s="12" t="str">
        <f>HLOOKUP(Language!$C$3,Language!$E$1:$Z493,36,FALSE)</f>
        <v>10 kA, 50 Ohms, BNC-type connector Surge Arrester for 0-2000 MHz</v>
      </c>
      <c r="X40" s="14">
        <v>1</v>
      </c>
      <c r="Y40" s="14"/>
      <c r="Z40" s="14" t="s">
        <v>177</v>
      </c>
      <c r="AA40" s="12" t="str">
        <f>HLOOKUP(Language!$C$3,Language!$E$1:$Z493,36,FALSE)</f>
        <v>10 kA, 50 Ohms, BNC-type connector Surge Arrester for 0-2000 MHz</v>
      </c>
      <c r="AB40" s="14">
        <v>1</v>
      </c>
      <c r="AC40" s="14"/>
      <c r="AD40" s="14" t="s">
        <v>177</v>
      </c>
      <c r="AE40" s="12" t="str">
        <f>HLOOKUP(Language!$C$3,Language!$E$1:$Z493,36,FALSE)</f>
        <v>10 kA, 50 Ohms, BNC-type connector Surge Arrester for 0-2000 MHz</v>
      </c>
      <c r="AF40" s="14">
        <v>1</v>
      </c>
      <c r="AG40" s="14"/>
      <c r="AH40" s="14" t="s">
        <v>177</v>
      </c>
    </row>
    <row r="41" spans="1:34" x14ac:dyDescent="0.2">
      <c r="A41" s="17"/>
      <c r="B41" s="223"/>
      <c r="C41" s="17"/>
      <c r="D41" s="20"/>
      <c r="E41" s="20"/>
      <c r="F41" s="20"/>
      <c r="G41" s="17"/>
      <c r="H41" s="20"/>
      <c r="I41" s="20"/>
      <c r="J41" s="20"/>
      <c r="K41" s="17"/>
      <c r="L41" s="20"/>
      <c r="M41" s="20"/>
      <c r="N41" s="20"/>
      <c r="O41" s="17"/>
      <c r="P41" s="20"/>
      <c r="Q41" s="20"/>
      <c r="R41" s="20"/>
      <c r="S41" s="17"/>
      <c r="T41" s="20"/>
      <c r="U41" s="20"/>
      <c r="V41" s="20"/>
      <c r="W41" s="17"/>
      <c r="X41" s="20"/>
      <c r="Y41" s="20"/>
      <c r="Z41" s="20"/>
      <c r="AA41" s="17"/>
      <c r="AB41" s="20"/>
      <c r="AC41" s="20"/>
      <c r="AD41" s="20"/>
      <c r="AE41" s="17"/>
      <c r="AF41" s="20"/>
      <c r="AG41" s="20"/>
      <c r="AH41" s="20"/>
    </row>
  </sheetData>
  <phoneticPr fontId="19" type="noConversion"/>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77"/>
  <sheetViews>
    <sheetView topLeftCell="D65" zoomScaleNormal="100" workbookViewId="0">
      <selection activeCell="E78" sqref="E78"/>
    </sheetView>
  </sheetViews>
  <sheetFormatPr defaultRowHeight="15" x14ac:dyDescent="0.25"/>
  <cols>
    <col min="1" max="1" width="2.42578125" style="136" customWidth="1"/>
    <col min="2" max="2" width="28.85546875" style="137" customWidth="1"/>
    <col min="3" max="3" width="3.140625" style="138" customWidth="1"/>
    <col min="4" max="4" width="3.140625" style="137" customWidth="1"/>
    <col min="5" max="6" width="72.7109375" style="139" customWidth="1"/>
    <col min="7" max="7" width="72.7109375" customWidth="1"/>
  </cols>
  <sheetData>
    <row r="1" spans="1:7" x14ac:dyDescent="0.25">
      <c r="B1" s="137" t="s">
        <v>39</v>
      </c>
      <c r="E1" s="149" t="s">
        <v>40</v>
      </c>
      <c r="F1" s="149" t="s">
        <v>41</v>
      </c>
      <c r="G1" s="149" t="s">
        <v>42</v>
      </c>
    </row>
    <row r="2" spans="1:7" x14ac:dyDescent="0.25">
      <c r="E2" s="149" t="s">
        <v>8</v>
      </c>
      <c r="F2" s="149" t="s">
        <v>43</v>
      </c>
      <c r="G2" s="149" t="s">
        <v>43</v>
      </c>
    </row>
    <row r="3" spans="1:7" x14ac:dyDescent="0.25">
      <c r="A3" s="140">
        <v>1</v>
      </c>
      <c r="B3" s="141" t="str">
        <f>VLOOKUP(A3,A4:C6,2,FALSE)</f>
        <v>English</v>
      </c>
      <c r="C3" s="142" t="str">
        <f>VLOOKUP(A3,A4:C6,3,FALSE)</f>
        <v>En</v>
      </c>
      <c r="D3" s="143"/>
      <c r="E3" s="149" t="s">
        <v>71</v>
      </c>
      <c r="F3" s="149" t="s">
        <v>71</v>
      </c>
      <c r="G3" s="149" t="s">
        <v>71</v>
      </c>
    </row>
    <row r="4" spans="1:7" x14ac:dyDescent="0.25">
      <c r="A4" s="144">
        <v>1</v>
      </c>
      <c r="B4" s="143" t="s">
        <v>44</v>
      </c>
      <c r="C4" s="145" t="s">
        <v>40</v>
      </c>
      <c r="D4" s="143"/>
      <c r="E4" s="149" t="s">
        <v>198</v>
      </c>
      <c r="F4" s="149" t="s">
        <v>198</v>
      </c>
      <c r="G4" s="149" t="s">
        <v>198</v>
      </c>
    </row>
    <row r="5" spans="1:7" x14ac:dyDescent="0.25">
      <c r="A5" s="144">
        <v>2</v>
      </c>
      <c r="B5" s="143" t="s">
        <v>45</v>
      </c>
      <c r="C5" s="145" t="s">
        <v>41</v>
      </c>
      <c r="D5" s="143"/>
      <c r="E5" s="149" t="s">
        <v>17</v>
      </c>
      <c r="F5" s="149" t="s">
        <v>72</v>
      </c>
      <c r="G5" s="149" t="s">
        <v>46</v>
      </c>
    </row>
    <row r="6" spans="1:7" x14ac:dyDescent="0.25">
      <c r="A6" s="146">
        <v>3</v>
      </c>
      <c r="B6" s="147" t="s">
        <v>47</v>
      </c>
      <c r="C6" s="148" t="s">
        <v>42</v>
      </c>
      <c r="D6" s="143"/>
      <c r="E6" s="149" t="s">
        <v>162</v>
      </c>
      <c r="F6" s="149" t="s">
        <v>163</v>
      </c>
      <c r="G6" s="149" t="s">
        <v>163</v>
      </c>
    </row>
    <row r="7" spans="1:7" x14ac:dyDescent="0.25">
      <c r="E7" s="149" t="s">
        <v>18</v>
      </c>
      <c r="F7" s="149" t="s">
        <v>73</v>
      </c>
      <c r="G7" s="149" t="s">
        <v>103</v>
      </c>
    </row>
    <row r="8" spans="1:7" x14ac:dyDescent="0.25">
      <c r="E8" s="149" t="s">
        <v>19</v>
      </c>
      <c r="F8" s="149" t="s">
        <v>74</v>
      </c>
      <c r="G8" s="149" t="s">
        <v>90</v>
      </c>
    </row>
    <row r="9" spans="1:7" x14ac:dyDescent="0.25">
      <c r="E9" s="139" t="s">
        <v>189</v>
      </c>
      <c r="F9" s="139" t="s">
        <v>190</v>
      </c>
      <c r="G9" s="139" t="s">
        <v>191</v>
      </c>
    </row>
    <row r="10" spans="1:7" x14ac:dyDescent="0.25">
      <c r="E10" s="149" t="s">
        <v>20</v>
      </c>
      <c r="F10" s="149" t="s">
        <v>75</v>
      </c>
      <c r="G10" s="149" t="s">
        <v>93</v>
      </c>
    </row>
    <row r="11" spans="1:7" x14ac:dyDescent="0.25">
      <c r="E11" s="149" t="s">
        <v>21</v>
      </c>
      <c r="F11" s="149" t="s">
        <v>76</v>
      </c>
      <c r="G11" s="149" t="s">
        <v>94</v>
      </c>
    </row>
    <row r="12" spans="1:7" x14ac:dyDescent="0.25">
      <c r="E12" s="149" t="s">
        <v>23</v>
      </c>
      <c r="F12" s="149" t="s">
        <v>77</v>
      </c>
      <c r="G12" s="149" t="s">
        <v>95</v>
      </c>
    </row>
    <row r="13" spans="1:7" x14ac:dyDescent="0.25">
      <c r="E13" s="139" t="s">
        <v>192</v>
      </c>
      <c r="F13" s="139" t="s">
        <v>193</v>
      </c>
      <c r="G13" s="139" t="s">
        <v>194</v>
      </c>
    </row>
    <row r="14" spans="1:7" x14ac:dyDescent="0.25">
      <c r="E14" s="139" t="s">
        <v>195</v>
      </c>
      <c r="F14" s="139" t="s">
        <v>196</v>
      </c>
      <c r="G14" s="139" t="s">
        <v>197</v>
      </c>
    </row>
    <row r="15" spans="1:7" x14ac:dyDescent="0.25">
      <c r="E15" s="149" t="s">
        <v>111</v>
      </c>
      <c r="F15" s="149" t="s">
        <v>112</v>
      </c>
      <c r="G15" s="149" t="s">
        <v>113</v>
      </c>
    </row>
    <row r="16" spans="1:7" x14ac:dyDescent="0.25">
      <c r="E16" s="149" t="s">
        <v>10</v>
      </c>
      <c r="F16" s="149" t="s">
        <v>48</v>
      </c>
      <c r="G16" s="149" t="s">
        <v>49</v>
      </c>
    </row>
    <row r="17" spans="5:7" x14ac:dyDescent="0.25">
      <c r="E17" s="149" t="s">
        <v>11</v>
      </c>
      <c r="F17" s="149" t="s">
        <v>11</v>
      </c>
      <c r="G17" s="149" t="s">
        <v>11</v>
      </c>
    </row>
    <row r="18" spans="5:7" x14ac:dyDescent="0.25">
      <c r="E18" s="149" t="s">
        <v>12</v>
      </c>
      <c r="F18" s="149" t="s">
        <v>50</v>
      </c>
      <c r="G18" s="149" t="s">
        <v>50</v>
      </c>
    </row>
    <row r="19" spans="5:7" x14ac:dyDescent="0.25">
      <c r="E19" s="149" t="s">
        <v>15</v>
      </c>
      <c r="F19" s="149" t="s">
        <v>104</v>
      </c>
      <c r="G19" s="149" t="s">
        <v>105</v>
      </c>
    </row>
    <row r="20" spans="5:7" x14ac:dyDescent="0.25">
      <c r="E20" s="149" t="s">
        <v>24</v>
      </c>
      <c r="F20" s="149" t="s">
        <v>51</v>
      </c>
      <c r="G20" s="149" t="s">
        <v>52</v>
      </c>
    </row>
    <row r="21" spans="5:7" x14ac:dyDescent="0.25">
      <c r="E21" s="149" t="s">
        <v>156</v>
      </c>
      <c r="F21" s="149" t="s">
        <v>157</v>
      </c>
      <c r="G21" s="149" t="s">
        <v>158</v>
      </c>
    </row>
    <row r="22" spans="5:7" x14ac:dyDescent="0.25">
      <c r="E22" s="149" t="s">
        <v>13</v>
      </c>
      <c r="F22" s="149" t="s">
        <v>78</v>
      </c>
      <c r="G22" s="149" t="s">
        <v>120</v>
      </c>
    </row>
    <row r="23" spans="5:7" x14ac:dyDescent="0.25">
      <c r="E23" s="149" t="s">
        <v>118</v>
      </c>
      <c r="F23" s="149" t="s">
        <v>91</v>
      </c>
      <c r="G23" s="149" t="s">
        <v>92</v>
      </c>
    </row>
    <row r="24" spans="5:7" x14ac:dyDescent="0.25">
      <c r="E24" s="149" t="s">
        <v>27</v>
      </c>
      <c r="F24" s="149" t="s">
        <v>79</v>
      </c>
      <c r="G24" s="149" t="s">
        <v>79</v>
      </c>
    </row>
    <row r="25" spans="5:7" x14ac:dyDescent="0.25">
      <c r="E25" s="149" t="s">
        <v>28</v>
      </c>
      <c r="F25" s="149" t="s">
        <v>96</v>
      </c>
      <c r="G25" s="149" t="s">
        <v>97</v>
      </c>
    </row>
    <row r="26" spans="5:7" x14ac:dyDescent="0.25">
      <c r="E26" s="149" t="s">
        <v>29</v>
      </c>
      <c r="F26" s="149" t="s">
        <v>80</v>
      </c>
      <c r="G26" s="149" t="s">
        <v>121</v>
      </c>
    </row>
    <row r="27" spans="5:7" x14ac:dyDescent="0.25">
      <c r="E27" s="149" t="s">
        <v>30</v>
      </c>
      <c r="F27" s="149" t="s">
        <v>81</v>
      </c>
      <c r="G27" s="149" t="s">
        <v>98</v>
      </c>
    </row>
    <row r="28" spans="5:7" x14ac:dyDescent="0.25">
      <c r="E28" s="149" t="s">
        <v>31</v>
      </c>
      <c r="F28" s="149" t="s">
        <v>82</v>
      </c>
      <c r="G28" s="149" t="s">
        <v>99</v>
      </c>
    </row>
    <row r="29" spans="5:7" x14ac:dyDescent="0.25">
      <c r="E29" s="149" t="s">
        <v>32</v>
      </c>
      <c r="F29" s="149" t="s">
        <v>83</v>
      </c>
      <c r="G29" s="149" t="s">
        <v>122</v>
      </c>
    </row>
    <row r="30" spans="5:7" x14ac:dyDescent="0.25">
      <c r="E30" s="149" t="s">
        <v>33</v>
      </c>
      <c r="F30" s="149" t="s">
        <v>84</v>
      </c>
      <c r="G30" s="149" t="s">
        <v>123</v>
      </c>
    </row>
    <row r="31" spans="5:7" x14ac:dyDescent="0.25">
      <c r="E31" s="149" t="s">
        <v>116</v>
      </c>
      <c r="F31" s="149" t="s">
        <v>117</v>
      </c>
      <c r="G31" s="149" t="s">
        <v>124</v>
      </c>
    </row>
    <row r="32" spans="5:7" x14ac:dyDescent="0.25">
      <c r="E32" s="149" t="s">
        <v>34</v>
      </c>
      <c r="F32" s="149" t="s">
        <v>85</v>
      </c>
      <c r="G32" s="149" t="s">
        <v>125</v>
      </c>
    </row>
    <row r="33" spans="5:7" x14ac:dyDescent="0.25">
      <c r="E33" s="149" t="s">
        <v>35</v>
      </c>
      <c r="F33" s="149" t="s">
        <v>86</v>
      </c>
      <c r="G33" s="149" t="s">
        <v>126</v>
      </c>
    </row>
    <row r="34" spans="5:7" x14ac:dyDescent="0.25">
      <c r="E34" s="149" t="s">
        <v>36</v>
      </c>
      <c r="F34" s="149" t="s">
        <v>87</v>
      </c>
      <c r="G34" s="149" t="s">
        <v>100</v>
      </c>
    </row>
    <row r="35" spans="5:7" x14ac:dyDescent="0.25">
      <c r="E35" s="149" t="s">
        <v>37</v>
      </c>
      <c r="F35" s="149" t="s">
        <v>88</v>
      </c>
      <c r="G35" s="149" t="s">
        <v>101</v>
      </c>
    </row>
    <row r="36" spans="5:7" x14ac:dyDescent="0.25">
      <c r="E36" s="149" t="s">
        <v>38</v>
      </c>
      <c r="F36" s="149" t="s">
        <v>89</v>
      </c>
      <c r="G36" s="149" t="s">
        <v>102</v>
      </c>
    </row>
    <row r="37" spans="5:7" x14ac:dyDescent="0.25">
      <c r="E37" s="139" t="s">
        <v>183</v>
      </c>
      <c r="F37" s="139" t="s">
        <v>184</v>
      </c>
      <c r="G37" s="139" t="s">
        <v>185</v>
      </c>
    </row>
    <row r="38" spans="5:7" x14ac:dyDescent="0.25">
      <c r="E38" s="149" t="s">
        <v>106</v>
      </c>
      <c r="F38" s="149" t="s">
        <v>107</v>
      </c>
      <c r="G38" s="149" t="s">
        <v>108</v>
      </c>
    </row>
    <row r="39" spans="5:7" x14ac:dyDescent="0.25">
      <c r="E39" s="163" t="s">
        <v>53</v>
      </c>
      <c r="F39" s="163" t="s">
        <v>54</v>
      </c>
      <c r="G39" s="163" t="s">
        <v>55</v>
      </c>
    </row>
    <row r="40" spans="5:7" x14ac:dyDescent="0.25">
      <c r="E40" s="163" t="s">
        <v>56</v>
      </c>
      <c r="F40" s="163" t="s">
        <v>57</v>
      </c>
      <c r="G40" s="163" t="s">
        <v>58</v>
      </c>
    </row>
    <row r="41" spans="5:7" ht="24" x14ac:dyDescent="0.25">
      <c r="E41" s="163" t="s">
        <v>3</v>
      </c>
      <c r="F41" s="163" t="s">
        <v>115</v>
      </c>
      <c r="G41" s="163" t="s">
        <v>59</v>
      </c>
    </row>
    <row r="42" spans="5:7" ht="24" x14ac:dyDescent="0.25">
      <c r="E42" s="163" t="s">
        <v>4</v>
      </c>
      <c r="F42" s="163" t="s">
        <v>60</v>
      </c>
      <c r="G42" s="163" t="s">
        <v>61</v>
      </c>
    </row>
    <row r="43" spans="5:7" ht="48" x14ac:dyDescent="0.25">
      <c r="E43" s="163" t="s">
        <v>5</v>
      </c>
      <c r="F43" s="163" t="s">
        <v>62</v>
      </c>
      <c r="G43" s="163" t="s">
        <v>63</v>
      </c>
    </row>
    <row r="44" spans="5:7" x14ac:dyDescent="0.25">
      <c r="E44" s="163" t="s">
        <v>109</v>
      </c>
      <c r="F44" s="163" t="s">
        <v>110</v>
      </c>
      <c r="G44" s="163" t="s">
        <v>64</v>
      </c>
    </row>
    <row r="45" spans="5:7" x14ac:dyDescent="0.25">
      <c r="E45" s="163" t="s">
        <v>6</v>
      </c>
      <c r="F45" s="163" t="s">
        <v>65</v>
      </c>
      <c r="G45" s="163" t="s">
        <v>65</v>
      </c>
    </row>
    <row r="46" spans="5:7" x14ac:dyDescent="0.25">
      <c r="E46" s="163" t="s">
        <v>25</v>
      </c>
      <c r="F46" s="163" t="s">
        <v>66</v>
      </c>
      <c r="G46" s="163" t="s">
        <v>67</v>
      </c>
    </row>
    <row r="47" spans="5:7" x14ac:dyDescent="0.25">
      <c r="E47" s="163" t="s">
        <v>68</v>
      </c>
      <c r="F47" s="163" t="s">
        <v>69</v>
      </c>
      <c r="G47" s="163" t="s">
        <v>70</v>
      </c>
    </row>
    <row r="48" spans="5:7" x14ac:dyDescent="0.25">
      <c r="E48" s="163" t="s">
        <v>26</v>
      </c>
      <c r="F48" s="163" t="s">
        <v>114</v>
      </c>
      <c r="G48" s="163" t="s">
        <v>114</v>
      </c>
    </row>
    <row r="49" spans="5:7" x14ac:dyDescent="0.25">
      <c r="E49" s="149" t="s">
        <v>127</v>
      </c>
      <c r="F49" s="149" t="s">
        <v>128</v>
      </c>
      <c r="G49" s="163" t="s">
        <v>129</v>
      </c>
    </row>
    <row r="50" spans="5:7" ht="24" x14ac:dyDescent="0.25">
      <c r="E50" s="149" t="s">
        <v>134</v>
      </c>
      <c r="F50" s="149" t="s">
        <v>135</v>
      </c>
      <c r="G50" s="163" t="s">
        <v>136</v>
      </c>
    </row>
    <row r="51" spans="5:7" x14ac:dyDescent="0.25">
      <c r="E51" s="149" t="s">
        <v>119</v>
      </c>
      <c r="F51" s="149" t="s">
        <v>188</v>
      </c>
      <c r="G51" s="149" t="s">
        <v>187</v>
      </c>
    </row>
    <row r="52" spans="5:7" x14ac:dyDescent="0.25">
      <c r="E52" s="149" t="s">
        <v>130</v>
      </c>
      <c r="F52" s="149" t="s">
        <v>132</v>
      </c>
      <c r="G52" s="149" t="s">
        <v>132</v>
      </c>
    </row>
    <row r="53" spans="5:7" x14ac:dyDescent="0.25">
      <c r="E53" s="149" t="s">
        <v>152</v>
      </c>
      <c r="F53" s="149" t="s">
        <v>153</v>
      </c>
      <c r="G53" s="149" t="s">
        <v>154</v>
      </c>
    </row>
    <row r="54" spans="5:7" x14ac:dyDescent="0.25">
      <c r="E54" s="149" t="s">
        <v>137</v>
      </c>
      <c r="F54" s="149" t="s">
        <v>138</v>
      </c>
      <c r="G54" s="149" t="s">
        <v>147</v>
      </c>
    </row>
    <row r="55" spans="5:7" x14ac:dyDescent="0.25">
      <c r="E55" s="149" t="s">
        <v>141</v>
      </c>
      <c r="F55" s="149" t="s">
        <v>139</v>
      </c>
      <c r="G55" s="149" t="s">
        <v>148</v>
      </c>
    </row>
    <row r="56" spans="5:7" x14ac:dyDescent="0.25">
      <c r="E56" s="149" t="s">
        <v>142</v>
      </c>
      <c r="F56" s="149" t="s">
        <v>140</v>
      </c>
      <c r="G56" s="149" t="s">
        <v>149</v>
      </c>
    </row>
    <row r="57" spans="5:7" x14ac:dyDescent="0.25">
      <c r="E57" s="149" t="s">
        <v>143</v>
      </c>
      <c r="F57" s="149" t="s">
        <v>145</v>
      </c>
      <c r="G57" s="149" t="s">
        <v>150</v>
      </c>
    </row>
    <row r="58" spans="5:7" x14ac:dyDescent="0.25">
      <c r="E58" s="149" t="s">
        <v>144</v>
      </c>
      <c r="F58" s="149" t="s">
        <v>146</v>
      </c>
      <c r="G58" s="149" t="s">
        <v>151</v>
      </c>
    </row>
    <row r="59" spans="5:7" x14ac:dyDescent="0.25">
      <c r="E59" s="149" t="s">
        <v>159</v>
      </c>
      <c r="F59" s="149" t="s">
        <v>160</v>
      </c>
      <c r="G59" s="163" t="s">
        <v>161</v>
      </c>
    </row>
    <row r="60" spans="5:7" x14ac:dyDescent="0.25">
      <c r="E60" s="139" t="s">
        <v>164</v>
      </c>
      <c r="F60" s="139" t="s">
        <v>165</v>
      </c>
      <c r="G60" s="149" t="s">
        <v>166</v>
      </c>
    </row>
    <row r="61" spans="5:7" x14ac:dyDescent="0.25">
      <c r="E61" s="139" t="s">
        <v>199</v>
      </c>
      <c r="F61" s="139" t="s">
        <v>200</v>
      </c>
      <c r="G61" s="139" t="s">
        <v>200</v>
      </c>
    </row>
    <row r="62" spans="5:7" x14ac:dyDescent="0.25">
      <c r="E62" s="139" t="s">
        <v>201</v>
      </c>
      <c r="F62" s="139" t="s">
        <v>202</v>
      </c>
      <c r="G62" s="139" t="s">
        <v>203</v>
      </c>
    </row>
    <row r="63" spans="5:7" x14ac:dyDescent="0.25">
      <c r="E63" s="149" t="s">
        <v>205</v>
      </c>
      <c r="F63" s="149" t="s">
        <v>206</v>
      </c>
      <c r="G63" s="149" t="s">
        <v>207</v>
      </c>
    </row>
    <row r="64" spans="5:7" x14ac:dyDescent="0.25">
      <c r="E64" s="149" t="s">
        <v>208</v>
      </c>
      <c r="F64" s="149" t="s">
        <v>209</v>
      </c>
      <c r="G64" s="149" t="s">
        <v>210</v>
      </c>
    </row>
    <row r="65" spans="5:7" x14ac:dyDescent="0.25">
      <c r="E65" s="149" t="s">
        <v>211</v>
      </c>
      <c r="F65" s="149" t="s">
        <v>212</v>
      </c>
      <c r="G65" s="149" t="s">
        <v>213</v>
      </c>
    </row>
    <row r="66" spans="5:7" x14ac:dyDescent="0.25">
      <c r="E66" s="149" t="s">
        <v>214</v>
      </c>
      <c r="F66" s="149" t="s">
        <v>215</v>
      </c>
      <c r="G66" s="149" t="s">
        <v>216</v>
      </c>
    </row>
    <row r="67" spans="5:7" x14ac:dyDescent="0.25">
      <c r="E67" s="149" t="s">
        <v>217</v>
      </c>
      <c r="F67" s="149" t="s">
        <v>218</v>
      </c>
      <c r="G67" s="149" t="s">
        <v>219</v>
      </c>
    </row>
    <row r="68" spans="5:7" x14ac:dyDescent="0.25">
      <c r="E68" s="139" t="s">
        <v>220</v>
      </c>
      <c r="F68" s="139" t="s">
        <v>221</v>
      </c>
      <c r="G68" s="139" t="s">
        <v>222</v>
      </c>
    </row>
    <row r="69" spans="5:7" x14ac:dyDescent="0.25">
      <c r="E69" s="139" t="s">
        <v>226</v>
      </c>
      <c r="F69" s="139" t="s">
        <v>227</v>
      </c>
      <c r="G69" t="s">
        <v>228</v>
      </c>
    </row>
    <row r="70" spans="5:7" x14ac:dyDescent="0.25">
      <c r="E70" s="139" t="s">
        <v>229</v>
      </c>
      <c r="F70" s="139" t="s">
        <v>230</v>
      </c>
      <c r="G70" s="149" t="s">
        <v>231</v>
      </c>
    </row>
    <row r="71" spans="5:7" ht="24" x14ac:dyDescent="0.25">
      <c r="E71" s="149" t="s">
        <v>232</v>
      </c>
      <c r="F71" s="149" t="s">
        <v>233</v>
      </c>
      <c r="G71" s="149" t="s">
        <v>234</v>
      </c>
    </row>
    <row r="72" spans="5:7" x14ac:dyDescent="0.25">
      <c r="E72" s="149" t="s">
        <v>235</v>
      </c>
      <c r="F72" s="149" t="s">
        <v>236</v>
      </c>
      <c r="G72" s="149" t="s">
        <v>237</v>
      </c>
    </row>
    <row r="73" spans="5:7" x14ac:dyDescent="0.25">
      <c r="E73" s="149" t="s">
        <v>238</v>
      </c>
      <c r="F73" s="149" t="s">
        <v>239</v>
      </c>
      <c r="G73" s="149" t="s">
        <v>240</v>
      </c>
    </row>
    <row r="74" spans="5:7" x14ac:dyDescent="0.25">
      <c r="E74" s="139" t="s">
        <v>241</v>
      </c>
      <c r="F74" s="139" t="s">
        <v>241</v>
      </c>
      <c r="G74" s="139" t="s">
        <v>241</v>
      </c>
    </row>
    <row r="75" spans="5:7" ht="36.75" x14ac:dyDescent="0.25">
      <c r="E75" s="139" t="s">
        <v>242</v>
      </c>
      <c r="F75" s="139" t="s">
        <v>243</v>
      </c>
      <c r="G75" s="139" t="s">
        <v>244</v>
      </c>
    </row>
    <row r="76" spans="5:7" x14ac:dyDescent="0.25">
      <c r="E76" s="139" t="s">
        <v>247</v>
      </c>
      <c r="F76" s="139" t="s">
        <v>248</v>
      </c>
      <c r="G76" s="149" t="s">
        <v>249</v>
      </c>
    </row>
    <row r="77" spans="5:7" ht="30" x14ac:dyDescent="0.25">
      <c r="E77" s="139" t="s">
        <v>252</v>
      </c>
      <c r="F77" s="139" t="s">
        <v>251</v>
      </c>
      <c r="G77" s="276" t="s">
        <v>250</v>
      </c>
    </row>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7</vt:i4>
      </vt:variant>
    </vt:vector>
  </HeadingPairs>
  <TitlesOfParts>
    <vt:vector size="7" baseType="lpstr">
      <vt:lpstr>Disclaimer</vt:lpstr>
      <vt:lpstr>Cortec</vt:lpstr>
      <vt:lpstr>Configurator</vt:lpstr>
      <vt:lpstr>Master Text</vt:lpstr>
      <vt:lpstr>Database</vt:lpstr>
      <vt:lpstr>Date Drivers</vt:lpstr>
      <vt:lpstr>Language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Stegmann Pineda</dc:creator>
  <cp:lastModifiedBy>Zapella, Marcelo (GE Renewable Energy)</cp:lastModifiedBy>
  <cp:lastPrinted>2014-03-11T11:39:11Z</cp:lastPrinted>
  <dcterms:created xsi:type="dcterms:W3CDTF">2012-11-20T14:50:48Z</dcterms:created>
  <dcterms:modified xsi:type="dcterms:W3CDTF">2019-12-27T18:33:37Z</dcterms:modified>
</cp:coreProperties>
</file>